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50" windowWidth="15390" windowHeight="8865" activeTab="0"/>
  </bookViews>
  <sheets>
    <sheet name="User Data" sheetId="1" r:id="rId1"/>
    <sheet name="Results" sheetId="2" r:id="rId2"/>
    <sheet name="Database" sheetId="3" r:id="rId3"/>
    <sheet name="Load" sheetId="4" r:id="rId4"/>
    <sheet name="Calc" sheetId="5" state="hidden" r:id="rId5"/>
  </sheets>
  <definedNames>
    <definedName name="AvailSizes">'Calc'!$N$4:$N$19</definedName>
    <definedName name="BMD">'Calc'!$H$4:$H$28</definedName>
    <definedName name="BSInches">'Calc'!$B$21</definedName>
    <definedName name="BSMillimeters">'Calc'!$B$22</definedName>
    <definedName name="bwi">'User Data'!$C$9</definedName>
    <definedName name="cBMD">'Calc'!$J$68:$J$92</definedName>
    <definedName name="CBMF">'Calc'!$K$4:$K$28</definedName>
    <definedName name="cCOF">'Calc'!$L$68:$L$92</definedName>
    <definedName name="cCUF">'Calc'!$N$68:$N$92</definedName>
    <definedName name="cFF">'Calc'!$H$68:$H$92</definedName>
    <definedName name="CL">'Calc'!$P$30</definedName>
    <definedName name="COF">'Calc'!$I$4:$I$28</definedName>
    <definedName name="CT">'Calc'!$C$10</definedName>
    <definedName name="CTOPEN">'Calc'!$B$13</definedName>
    <definedName name="CTPOST">'Calc'!$B$11</definedName>
    <definedName name="CTPRE">'Calc'!$B$12</definedName>
    <definedName name="CUF">'Calc'!$J$4:$J$28</definedName>
    <definedName name="DBCount">'Calc'!$B$26</definedName>
    <definedName name="DBLoad">'Calc'!$B$27</definedName>
    <definedName name="Description">'User Data'!$C$3</definedName>
    <definedName name="DT">'Calc'!$C$15</definedName>
    <definedName name="DTCPP">'Calc'!$B$16</definedName>
    <definedName name="DTCPR">'Calc'!$B$17</definedName>
    <definedName name="DTPBW">'Calc'!$B$18</definedName>
    <definedName name="feet">'User Data'!#REF!</definedName>
    <definedName name="FF">'Calc'!$G$4:$G$28</definedName>
    <definedName name="GSTD">'Calc'!$K$47</definedName>
    <definedName name="Increment">'Calc'!$U$8</definedName>
    <definedName name="Index">'Calc'!$U$9</definedName>
    <definedName name="LOADID">'Load'!$B$3</definedName>
    <definedName name="MaxDia">'Calc'!$U$6</definedName>
    <definedName name="mCriteria">'Calc'!$G$67</definedName>
    <definedName name="MD">'Calc'!$C$2</definedName>
    <definedName name="MDFeet">'Calc'!$B$3</definedName>
    <definedName name="MDMeters">'Calc'!$B$4</definedName>
    <definedName name="mField">'Calc'!$G$66</definedName>
    <definedName name="Microns">'Calc'!$F$4:$F$28</definedName>
    <definedName name="millDiameter">'User Data'!$C$5</definedName>
    <definedName name="millSpeed">'User Data'!$C$7</definedName>
    <definedName name="MS">'Calc'!$C$6</definedName>
    <definedName name="MSCRITICAL">'Calc'!$B$8</definedName>
    <definedName name="MSRPM">'Calc'!$B$7</definedName>
    <definedName name="mValue">'Calc'!$G$65</definedName>
    <definedName name="NoClass">'User Data'!$C$18</definedName>
    <definedName name="runDate">'Results'!$C$4</definedName>
    <definedName name="screenData">'Calc'!$F$4:$J$28</definedName>
    <definedName name="screenDB">'Calc'!$F$3:$K$28</definedName>
    <definedName name="sg">'User Data'!$C$11</definedName>
    <definedName name="timestamp">'User Data'!$C$25</definedName>
    <definedName name="uAvailSizes">'User Data'!$N$7:$N$21</definedName>
    <definedName name="uBMD">'User Data'!$J$7:$J$31</definedName>
    <definedName name="uCOF">'User Data'!$K$7:$K$31</definedName>
    <definedName name="uCUF">'User Data'!$L$7:$L$31</definedName>
    <definedName name="uFF">'User Data'!$I$7:$I$31</definedName>
    <definedName name="uMicrons">'User Data'!$H$7:$H$31</definedName>
    <definedName name="uScreenData">'User Data'!$H$7:$L$31</definedName>
    <definedName name="UseAbove">'Calc'!$B$24</definedName>
  </definedNames>
  <calcPr fullCalcOnLoad="1"/>
</workbook>
</file>

<file path=xl/sharedStrings.xml><?xml version="1.0" encoding="utf-8"?>
<sst xmlns="http://schemas.openxmlformats.org/spreadsheetml/2006/main" count="453" uniqueCount="334">
  <si>
    <t>Mill Diameter:</t>
  </si>
  <si>
    <t>Mill Speed:</t>
  </si>
  <si>
    <t>Bond Work Index:</t>
  </si>
  <si>
    <t>kWh/t</t>
  </si>
  <si>
    <t>Specific Gravity:</t>
  </si>
  <si>
    <t>(optional)</t>
  </si>
  <si>
    <t>Circuit Type:</t>
  </si>
  <si>
    <t>Number of Size Classes:</t>
  </si>
  <si>
    <t xml:space="preserve">Particle </t>
  </si>
  <si>
    <r>
      <t>Size (</t>
    </r>
    <r>
      <rPr>
        <b/>
        <sz val="8"/>
        <color indexed="9"/>
        <rFont val="Symbol"/>
        <family val="1"/>
      </rPr>
      <t>m</t>
    </r>
    <r>
      <rPr>
        <b/>
        <sz val="8"/>
        <color indexed="9"/>
        <rFont val="Verdana"/>
        <family val="2"/>
      </rPr>
      <t>m)</t>
    </r>
  </si>
  <si>
    <t>Fresh</t>
  </si>
  <si>
    <t>Feed</t>
  </si>
  <si>
    <t>Mill</t>
  </si>
  <si>
    <t>Discharge</t>
  </si>
  <si>
    <t>Cyclone</t>
  </si>
  <si>
    <t>Overflow</t>
  </si>
  <si>
    <t>Underflow</t>
  </si>
  <si>
    <t>Screen Data Type:</t>
  </si>
  <si>
    <t>meters</t>
  </si>
  <si>
    <t>rpm</t>
  </si>
  <si>
    <t>Pre-Class</t>
  </si>
  <si>
    <t>Post-Class</t>
  </si>
  <si>
    <t>Mill Diameter (MD):</t>
  </si>
  <si>
    <t>Mill Speed (MS):</t>
  </si>
  <si>
    <t>Circuit Type (CT):</t>
  </si>
  <si>
    <t>Feet</t>
  </si>
  <si>
    <t>Meters</t>
  </si>
  <si>
    <t>RPM</t>
  </si>
  <si>
    <t>% Critical</t>
  </si>
  <si>
    <t>Open</t>
  </si>
  <si>
    <t>Data Type (DT):</t>
  </si>
  <si>
    <t>Cum. Pct. Passing</t>
  </si>
  <si>
    <t>Cum. Pct. Retained</t>
  </si>
  <si>
    <t>Pct. By Weight</t>
  </si>
  <si>
    <t>CUF</t>
  </si>
  <si>
    <t>COF</t>
  </si>
  <si>
    <t>BMD</t>
  </si>
  <si>
    <t>FF</t>
  </si>
  <si>
    <t>MICRONS</t>
  </si>
  <si>
    <t>CBMF</t>
  </si>
  <si>
    <t>Circulating Load (per size class)</t>
  </si>
  <si>
    <t>Num</t>
  </si>
  <si>
    <t>Den</t>
  </si>
  <si>
    <t>Sum:</t>
  </si>
  <si>
    <t>Avg CL (%):</t>
  </si>
  <si>
    <t>CL</t>
  </si>
  <si>
    <t>G80:</t>
  </si>
  <si>
    <t>G100:</t>
  </si>
  <si>
    <t>&gt;80</t>
  </si>
  <si>
    <t>&lt;80</t>
  </si>
  <si>
    <t>Size80hi:</t>
  </si>
  <si>
    <t>Size80lo:</t>
  </si>
  <si>
    <t>Pct80hi:</t>
  </si>
  <si>
    <t>Pct80lo:</t>
  </si>
  <si>
    <t>&lt;100</t>
  </si>
  <si>
    <t>&gt;=100</t>
  </si>
  <si>
    <t>Size100hi:</t>
  </si>
  <si>
    <t>Size100lo:</t>
  </si>
  <si>
    <t>Area</t>
  </si>
  <si>
    <t>GStd:</t>
  </si>
  <si>
    <t>GPct:</t>
  </si>
  <si>
    <t>SizeStdHi:</t>
  </si>
  <si>
    <t>SizeStdLo:</t>
  </si>
  <si>
    <t>PctStdHi:</t>
  </si>
  <si>
    <t>PctStdLo:</t>
  </si>
  <si>
    <t>GStd Root:</t>
  </si>
  <si>
    <t>BWI Root:</t>
  </si>
  <si>
    <t>Mill Root:</t>
  </si>
  <si>
    <t>Available</t>
  </si>
  <si>
    <t>Ball Sizes</t>
  </si>
  <si>
    <t>Available Ball Size</t>
  </si>
  <si>
    <t>Inches</t>
  </si>
  <si>
    <t>Millimeters</t>
  </si>
  <si>
    <t>Sizes</t>
  </si>
  <si>
    <t>Top Size:</t>
  </si>
  <si>
    <t>Next Size:</t>
  </si>
  <si>
    <t>Max Ball Dia. (mm/in):</t>
  </si>
  <si>
    <t>Increment:</t>
  </si>
  <si>
    <t>Index:</t>
  </si>
  <si>
    <t>G(i)</t>
  </si>
  <si>
    <t>Index</t>
  </si>
  <si>
    <t>Unavailable</t>
  </si>
  <si>
    <t>Size (mm)</t>
  </si>
  <si>
    <t>Size (in)</t>
  </si>
  <si>
    <t>Index %</t>
  </si>
  <si>
    <t>Microns</t>
  </si>
  <si>
    <t>Hi</t>
  </si>
  <si>
    <t>Lo</t>
  </si>
  <si>
    <t>Percent</t>
  </si>
  <si>
    <t>Calculate correction factor</t>
  </si>
  <si>
    <t>Microns below 80% passing in circuit discharge:</t>
  </si>
  <si>
    <t>Corresponding CBMF %passing:</t>
  </si>
  <si>
    <t>80% passing size:</t>
  </si>
  <si>
    <t>Microns above 80% passing in circuit discharge:</t>
  </si>
  <si>
    <t>Correction Factor:</t>
  </si>
  <si>
    <t>Log(Correction Factor):</t>
  </si>
  <si>
    <t>Corrected</t>
  </si>
  <si>
    <t>String %</t>
  </si>
  <si>
    <t>Split</t>
  </si>
  <si>
    <t>Ball %</t>
  </si>
  <si>
    <t>Use Above:</t>
  </si>
  <si>
    <t>BBC</t>
  </si>
  <si>
    <t>String</t>
  </si>
  <si>
    <t>Optimum</t>
  </si>
  <si>
    <t>Recharge</t>
  </si>
  <si>
    <t>Opt.Rechg</t>
  </si>
  <si>
    <t>Recharge Matrix</t>
  </si>
  <si>
    <t>2-Ball Recharge</t>
  </si>
  <si>
    <t>2nd Ball Size:</t>
  </si>
  <si>
    <t>3-Ball Recharge</t>
  </si>
  <si>
    <t>3rd Ball Size:</t>
  </si>
  <si>
    <t>1st Ball Size:</t>
  </si>
  <si>
    <t>Rechg %</t>
  </si>
  <si>
    <t>* Ball Dia</t>
  </si>
  <si>
    <t>%</t>
  </si>
  <si>
    <t>% Corres 3rd Size:</t>
  </si>
  <si>
    <t>w</t>
  </si>
  <si>
    <t>Reduction Ratios</t>
  </si>
  <si>
    <t>% Passing</t>
  </si>
  <si>
    <t>Ratio</t>
  </si>
  <si>
    <t>Size Hi</t>
  </si>
  <si>
    <t>Size Lo</t>
  </si>
  <si>
    <t>Pct Hi</t>
  </si>
  <si>
    <t>Pct Lo</t>
  </si>
  <si>
    <t>COMPOSITE BALL MILL FEED</t>
  </si>
  <si>
    <t>BALL MILL DISCHARGE</t>
  </si>
  <si>
    <t>Reduction</t>
  </si>
  <si>
    <t>MILL REDUCTION RATIO</t>
  </si>
  <si>
    <t>CIRCUIT REDUCTION RATIO</t>
  </si>
  <si>
    <t>Fresh Feed</t>
  </si>
  <si>
    <t>Description:</t>
  </si>
  <si>
    <t>uFF</t>
  </si>
  <si>
    <t>cFF</t>
  </si>
  <si>
    <t>uBMD</t>
  </si>
  <si>
    <t>cBMD</t>
  </si>
  <si>
    <t>uCOF</t>
  </si>
  <si>
    <t>cCOF</t>
  </si>
  <si>
    <t>uCUF</t>
  </si>
  <si>
    <t>cCUF</t>
  </si>
  <si>
    <t>Date:</t>
  </si>
  <si>
    <t>Work Index:</t>
  </si>
  <si>
    <t>Classification:</t>
  </si>
  <si>
    <t>Maximum</t>
  </si>
  <si>
    <t>Ball Diameter:</t>
  </si>
  <si>
    <t>Top Size for</t>
  </si>
  <si>
    <t>Recharge:</t>
  </si>
  <si>
    <t>Recommended 2-Ball Recharge</t>
  </si>
  <si>
    <t>Recommended 3-Ball Recharge</t>
  </si>
  <si>
    <t>Ball Charge Estimation</t>
  </si>
  <si>
    <t>Ball Charge Estimation - Summary</t>
  </si>
  <si>
    <t>Mill Discharge</t>
  </si>
  <si>
    <t>Cyclone Overflow</t>
  </si>
  <si>
    <t>Cyclone Underflow</t>
  </si>
  <si>
    <t>Mill Feed</t>
  </si>
  <si>
    <r>
      <t>m</t>
    </r>
    <r>
      <rPr>
        <sz val="10"/>
        <rFont val="Arial"/>
        <family val="2"/>
      </rPr>
      <t>m</t>
    </r>
  </si>
  <si>
    <t>100% Passing</t>
  </si>
  <si>
    <t>80% Passing</t>
  </si>
  <si>
    <t>Circulating Load</t>
  </si>
  <si>
    <t>G(std):</t>
  </si>
  <si>
    <t>Correction:</t>
  </si>
  <si>
    <t>Index (i)</t>
  </si>
  <si>
    <r>
      <t>G</t>
    </r>
    <r>
      <rPr>
        <b/>
        <vertAlign val="subscript"/>
        <sz val="10"/>
        <rFont val="Arial"/>
        <family val="2"/>
      </rPr>
      <t>i</t>
    </r>
  </si>
  <si>
    <t>Unavail.</t>
  </si>
  <si>
    <t>Hi (%)</t>
  </si>
  <si>
    <t>Index (%)</t>
  </si>
  <si>
    <t xml:space="preserve">Split </t>
  </si>
  <si>
    <t>Lo (%)</t>
  </si>
  <si>
    <t>Ball (%)</t>
  </si>
  <si>
    <t>String (%)</t>
  </si>
  <si>
    <t>(%)</t>
  </si>
  <si>
    <t>BBC String</t>
  </si>
  <si>
    <t xml:space="preserve">Opt </t>
  </si>
  <si>
    <t>Ball Charge Estimation - Detail (pg 2)</t>
  </si>
  <si>
    <t>Ball Charge Estimation - Detail (pg 1)</t>
  </si>
  <si>
    <t>Equilibrium Recharge</t>
  </si>
  <si>
    <t>Reduction Ratio</t>
  </si>
  <si>
    <t>Circuit</t>
  </si>
  <si>
    <t>Description</t>
  </si>
  <si>
    <t>Mill Dia</t>
  </si>
  <si>
    <t>Mill Speed</t>
  </si>
  <si>
    <t>Work Index</t>
  </si>
  <si>
    <t>MDUNIT</t>
  </si>
  <si>
    <t>MSUNIT</t>
  </si>
  <si>
    <t>Specific Gravity</t>
  </si>
  <si>
    <t>Circuit Type</t>
  </si>
  <si>
    <t>No Classes</t>
  </si>
  <si>
    <t>Data Type</t>
  </si>
  <si>
    <t>Microns1</t>
  </si>
  <si>
    <t>FF1</t>
  </si>
  <si>
    <t>BMD1</t>
  </si>
  <si>
    <t>COF1</t>
  </si>
  <si>
    <t>CUF1</t>
  </si>
  <si>
    <t>Microns2</t>
  </si>
  <si>
    <t>FF2</t>
  </si>
  <si>
    <t>BMD2</t>
  </si>
  <si>
    <t>COF2</t>
  </si>
  <si>
    <t>CUF2</t>
  </si>
  <si>
    <t>Microns3</t>
  </si>
  <si>
    <t>FF3</t>
  </si>
  <si>
    <t>BMD3</t>
  </si>
  <si>
    <t>COF3</t>
  </si>
  <si>
    <t>CUF3</t>
  </si>
  <si>
    <t>Microns4</t>
  </si>
  <si>
    <t>FF4</t>
  </si>
  <si>
    <t>BMD4</t>
  </si>
  <si>
    <t>COF4</t>
  </si>
  <si>
    <t>CUF4</t>
  </si>
  <si>
    <t>Microns5</t>
  </si>
  <si>
    <t>FF5</t>
  </si>
  <si>
    <t>BMD5</t>
  </si>
  <si>
    <t>COF5</t>
  </si>
  <si>
    <t>CUF5</t>
  </si>
  <si>
    <t>Microns6</t>
  </si>
  <si>
    <t>FF6</t>
  </si>
  <si>
    <t>BMD6</t>
  </si>
  <si>
    <t>COF6</t>
  </si>
  <si>
    <t>CUF6</t>
  </si>
  <si>
    <t>Microns7</t>
  </si>
  <si>
    <t>FF7</t>
  </si>
  <si>
    <t>BMD7</t>
  </si>
  <si>
    <t>COF7</t>
  </si>
  <si>
    <t>CUF7</t>
  </si>
  <si>
    <t>Microns8</t>
  </si>
  <si>
    <t>FF8</t>
  </si>
  <si>
    <t>BMD8</t>
  </si>
  <si>
    <t>COF8</t>
  </si>
  <si>
    <t>CUF8</t>
  </si>
  <si>
    <t>Microns9</t>
  </si>
  <si>
    <t>FF9</t>
  </si>
  <si>
    <t>BMD9</t>
  </si>
  <si>
    <t>COF9</t>
  </si>
  <si>
    <t>CUF9</t>
  </si>
  <si>
    <t>Microns10</t>
  </si>
  <si>
    <t>FF10</t>
  </si>
  <si>
    <t>BMD10</t>
  </si>
  <si>
    <t>COF10</t>
  </si>
  <si>
    <t>CUF10</t>
  </si>
  <si>
    <t>Microns11</t>
  </si>
  <si>
    <t>FF11</t>
  </si>
  <si>
    <t>BMD11</t>
  </si>
  <si>
    <t>COF11</t>
  </si>
  <si>
    <t>CUF11</t>
  </si>
  <si>
    <t>Microns12</t>
  </si>
  <si>
    <t>FF12</t>
  </si>
  <si>
    <t>BMD12</t>
  </si>
  <si>
    <t>COF12</t>
  </si>
  <si>
    <t>CUF12</t>
  </si>
  <si>
    <t>Microns13</t>
  </si>
  <si>
    <t>FF13</t>
  </si>
  <si>
    <t>BMD13</t>
  </si>
  <si>
    <t>COF13</t>
  </si>
  <si>
    <t>CUF13</t>
  </si>
  <si>
    <t>Microns14</t>
  </si>
  <si>
    <t>FF14</t>
  </si>
  <si>
    <t>BMD14</t>
  </si>
  <si>
    <t>COF14</t>
  </si>
  <si>
    <t>CUF14</t>
  </si>
  <si>
    <t>Microns15</t>
  </si>
  <si>
    <t>FF15</t>
  </si>
  <si>
    <t>BMD15</t>
  </si>
  <si>
    <t>COF15</t>
  </si>
  <si>
    <t>CUF15</t>
  </si>
  <si>
    <t>Microns16</t>
  </si>
  <si>
    <t>FF16</t>
  </si>
  <si>
    <t>BMD16</t>
  </si>
  <si>
    <t>COF16</t>
  </si>
  <si>
    <t>CUF16</t>
  </si>
  <si>
    <t>Microns17</t>
  </si>
  <si>
    <t>FF17</t>
  </si>
  <si>
    <t>BMD17</t>
  </si>
  <si>
    <t>COF17</t>
  </si>
  <si>
    <t>CUF17</t>
  </si>
  <si>
    <t>Microns18</t>
  </si>
  <si>
    <t>FF18</t>
  </si>
  <si>
    <t>BMD18</t>
  </si>
  <si>
    <t>COF18</t>
  </si>
  <si>
    <t>CUF18</t>
  </si>
  <si>
    <t>Microns19</t>
  </si>
  <si>
    <t>FF19</t>
  </si>
  <si>
    <t>BMD19</t>
  </si>
  <si>
    <t>COF19</t>
  </si>
  <si>
    <t>CUF19</t>
  </si>
  <si>
    <t>Microns20</t>
  </si>
  <si>
    <t>FF20</t>
  </si>
  <si>
    <t>BMD20</t>
  </si>
  <si>
    <t>COF20</t>
  </si>
  <si>
    <t>CUF20</t>
  </si>
  <si>
    <t>Microns21</t>
  </si>
  <si>
    <t>FF21</t>
  </si>
  <si>
    <t>BMD21</t>
  </si>
  <si>
    <t>COF21</t>
  </si>
  <si>
    <t>CUF21</t>
  </si>
  <si>
    <t>Microns22</t>
  </si>
  <si>
    <t>FF22</t>
  </si>
  <si>
    <t>BMD22</t>
  </si>
  <si>
    <t>COF22</t>
  </si>
  <si>
    <t>CUF22</t>
  </si>
  <si>
    <t>Microns23</t>
  </si>
  <si>
    <t>FF23</t>
  </si>
  <si>
    <t>BMD23</t>
  </si>
  <si>
    <t>COF23</t>
  </si>
  <si>
    <t>CUF23</t>
  </si>
  <si>
    <t>Microns24</t>
  </si>
  <si>
    <t>FF24</t>
  </si>
  <si>
    <t>BMD24</t>
  </si>
  <si>
    <t>COF24</t>
  </si>
  <si>
    <t>CUF24</t>
  </si>
  <si>
    <t>Microns25</t>
  </si>
  <si>
    <t>FF25</t>
  </si>
  <si>
    <t>BMD25</t>
  </si>
  <si>
    <t>COF25</t>
  </si>
  <si>
    <t>CUF25</t>
  </si>
  <si>
    <t>Date / Time</t>
  </si>
  <si>
    <t>DBCount</t>
  </si>
  <si>
    <t>Avail1</t>
  </si>
  <si>
    <t>Avail2</t>
  </si>
  <si>
    <t>Avail3</t>
  </si>
  <si>
    <t>Avail4</t>
  </si>
  <si>
    <t>Avail5</t>
  </si>
  <si>
    <t>Avail6</t>
  </si>
  <si>
    <t>Avail7</t>
  </si>
  <si>
    <t>Avail8</t>
  </si>
  <si>
    <t>Avail9</t>
  </si>
  <si>
    <t>Avail10</t>
  </si>
  <si>
    <t>Avail11</t>
  </si>
  <si>
    <t>Avail12</t>
  </si>
  <si>
    <t>Avail13</t>
  </si>
  <si>
    <t>Avail14</t>
  </si>
  <si>
    <t>Avail15</t>
  </si>
  <si>
    <t>DBLoad</t>
  </si>
  <si>
    <t>Time/Date:</t>
  </si>
  <si>
    <t>BSUNITS</t>
  </si>
  <si>
    <t>Ball Charge Estimation - Load</t>
  </si>
  <si>
    <t>Load which calculation?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</si>
</sst>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\-mmmm\-yyyy\ hh:mm\ AM/PM"/>
    <numFmt numFmtId="166" formatCode="m/d/yy\ h:mm\ AM/PM"/>
  </numFmts>
  <fonts count="18">
    <font>
      <sz val="10"/>
      <name val="Arial"/>
      <family val="0"/>
    </font>
    <font>
      <sz val="10"/>
      <name val="Verdana"/>
      <family val="2"/>
    </font>
    <font>
      <b/>
      <sz val="12"/>
      <color indexed="9"/>
      <name val="Verdana"/>
      <family val="2"/>
    </font>
    <font>
      <b/>
      <sz val="8"/>
      <color indexed="9"/>
      <name val="Verdana"/>
      <family val="2"/>
    </font>
    <font>
      <b/>
      <sz val="8"/>
      <color indexed="9"/>
      <name val="Symbol"/>
      <family val="1"/>
    </font>
    <font>
      <sz val="9"/>
      <name val="Terminal"/>
      <family val="3"/>
    </font>
    <font>
      <b/>
      <sz val="10"/>
      <color indexed="1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5.5"/>
      <name val="Arial"/>
      <family val="0"/>
    </font>
    <font>
      <b/>
      <sz val="14"/>
      <name val="Arial"/>
      <family val="2"/>
    </font>
    <font>
      <sz val="10"/>
      <name val="Symbol"/>
      <family val="1"/>
    </font>
    <font>
      <b/>
      <vertAlign val="subscript"/>
      <sz val="10"/>
      <name val="Arial"/>
      <family val="2"/>
    </font>
    <font>
      <b/>
      <sz val="10"/>
      <name val="Verdana"/>
      <family val="2"/>
    </font>
    <font>
      <sz val="10"/>
      <color indexed="22"/>
      <name val="Arial"/>
      <family val="2"/>
    </font>
    <font>
      <sz val="10"/>
      <name val="Terminal"/>
      <family val="3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8"/>
      </left>
      <right style="thin"/>
      <top style="thin"/>
      <bottom style="thin"/>
    </border>
    <border>
      <left style="thin"/>
      <right style="medium">
        <color indexed="18"/>
      </right>
      <top style="thin"/>
      <bottom style="thin"/>
    </border>
    <border>
      <left style="medium">
        <color indexed="18"/>
      </left>
      <right style="thin"/>
      <top style="thin"/>
      <bottom style="medium">
        <color indexed="18"/>
      </bottom>
    </border>
    <border>
      <left style="thin"/>
      <right style="thin"/>
      <top style="thin"/>
      <bottom style="medium">
        <color indexed="18"/>
      </bottom>
    </border>
    <border>
      <left style="thin"/>
      <right style="medium">
        <color indexed="18"/>
      </right>
      <top style="thin"/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8"/>
      </left>
      <right style="medium">
        <color indexed="18"/>
      </right>
      <top style="thin"/>
      <bottom style="thin"/>
    </border>
    <border>
      <left style="medium">
        <color indexed="18"/>
      </left>
      <right style="medium">
        <color indexed="18"/>
      </right>
      <top style="thin"/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2" fontId="5" fillId="4" borderId="4" xfId="0" applyNumberFormat="1" applyFont="1" applyFill="1" applyBorder="1" applyAlignment="1" applyProtection="1">
      <alignment/>
      <protection locked="0"/>
    </xf>
    <xf numFmtId="1" fontId="5" fillId="4" borderId="4" xfId="0" applyNumberFormat="1" applyFont="1" applyFill="1" applyBorder="1" applyAlignment="1" applyProtection="1">
      <alignment/>
      <protection locked="0"/>
    </xf>
    <xf numFmtId="1" fontId="5" fillId="4" borderId="5" xfId="0" applyNumberFormat="1" applyFont="1" applyFill="1" applyBorder="1" applyAlignment="1" applyProtection="1">
      <alignment/>
      <protection locked="0"/>
    </xf>
    <xf numFmtId="2" fontId="5" fillId="4" borderId="6" xfId="0" applyNumberFormat="1" applyFont="1" applyFill="1" applyBorder="1" applyAlignment="1" applyProtection="1">
      <alignment/>
      <protection locked="0"/>
    </xf>
    <xf numFmtId="1" fontId="5" fillId="4" borderId="7" xfId="0" applyNumberFormat="1" applyFont="1" applyFill="1" applyBorder="1" applyAlignment="1" applyProtection="1">
      <alignment/>
      <protection locked="0"/>
    </xf>
    <xf numFmtId="2" fontId="5" fillId="4" borderId="8" xfId="0" applyNumberFormat="1" applyFont="1" applyFill="1" applyBorder="1" applyAlignment="1" applyProtection="1">
      <alignment/>
      <protection locked="0"/>
    </xf>
    <xf numFmtId="2" fontId="5" fillId="4" borderId="9" xfId="0" applyNumberFormat="1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Alignment="1">
      <alignment wrapText="1"/>
    </xf>
    <xf numFmtId="166" fontId="7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0" fontId="15" fillId="3" borderId="0" xfId="0" applyFont="1" applyFill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2" fontId="5" fillId="4" borderId="14" xfId="0" applyNumberFormat="1" applyFont="1" applyFill="1" applyBorder="1" applyAlignment="1" applyProtection="1">
      <alignment/>
      <protection locked="0"/>
    </xf>
    <xf numFmtId="2" fontId="5" fillId="4" borderId="15" xfId="0" applyNumberFormat="1" applyFont="1" applyFill="1" applyBorder="1" applyAlignment="1" applyProtection="1">
      <alignment/>
      <protection locked="0"/>
    </xf>
    <xf numFmtId="0" fontId="17" fillId="4" borderId="16" xfId="0" applyFont="1" applyFill="1" applyBorder="1" applyAlignment="1" applyProtection="1">
      <alignment/>
      <protection locked="0"/>
    </xf>
    <xf numFmtId="166" fontId="5" fillId="4" borderId="16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2" fontId="0" fillId="0" borderId="0" xfId="0" applyNumberForma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1" fontId="0" fillId="0" borderId="16" xfId="0" applyNumberFormat="1" applyFill="1" applyBorder="1" applyAlignment="1" applyProtection="1">
      <alignment/>
      <protection hidden="1"/>
    </xf>
    <xf numFmtId="0" fontId="13" fillId="0" borderId="13" xfId="0" applyFon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left"/>
      <protection hidden="1"/>
    </xf>
    <xf numFmtId="2" fontId="0" fillId="0" borderId="4" xfId="0" applyNumberFormat="1" applyFill="1" applyBorder="1" applyAlignment="1" applyProtection="1">
      <alignment/>
      <protection hidden="1"/>
    </xf>
    <xf numFmtId="164" fontId="0" fillId="0" borderId="16" xfId="0" applyNumberFormat="1" applyFill="1" applyBorder="1" applyAlignment="1" applyProtection="1">
      <alignment horizontal="right"/>
      <protection hidden="1"/>
    </xf>
    <xf numFmtId="0" fontId="0" fillId="0" borderId="13" xfId="0" applyFill="1" applyBorder="1" applyAlignment="1" applyProtection="1">
      <alignment/>
      <protection hidden="1"/>
    </xf>
    <xf numFmtId="1" fontId="0" fillId="0" borderId="4" xfId="0" applyNumberFormat="1" applyFill="1" applyBorder="1" applyAlignment="1" applyProtection="1">
      <alignment/>
      <protection hidden="1"/>
    </xf>
    <xf numFmtId="2" fontId="0" fillId="0" borderId="16" xfId="0" applyNumberForma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7" fillId="0" borderId="17" xfId="0" applyFont="1" applyFill="1" applyBorder="1" applyAlignment="1" applyProtection="1">
      <alignment/>
      <protection hidden="1"/>
    </xf>
    <xf numFmtId="0" fontId="7" fillId="0" borderId="18" xfId="0" applyFont="1" applyFill="1" applyBorder="1" applyAlignment="1" applyProtection="1">
      <alignment/>
      <protection hidden="1"/>
    </xf>
    <xf numFmtId="1" fontId="7" fillId="0" borderId="18" xfId="0" applyNumberFormat="1" applyFont="1" applyFill="1" applyBorder="1" applyAlignment="1" applyProtection="1">
      <alignment/>
      <protection hidden="1"/>
    </xf>
    <xf numFmtId="0" fontId="7" fillId="3" borderId="4" xfId="0" applyFont="1" applyFill="1" applyBorder="1" applyAlignment="1" applyProtection="1">
      <alignment horizontal="right"/>
      <protection hidden="1"/>
    </xf>
    <xf numFmtId="0" fontId="7" fillId="0" borderId="4" xfId="0" applyFont="1" applyFill="1" applyBorder="1" applyAlignment="1" applyProtection="1">
      <alignment horizontal="right"/>
      <protection hidden="1"/>
    </xf>
    <xf numFmtId="0" fontId="0" fillId="0" borderId="4" xfId="0" applyFill="1" applyBorder="1" applyAlignment="1" applyProtection="1">
      <alignment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right"/>
      <protection hidden="1"/>
    </xf>
    <xf numFmtId="9" fontId="0" fillId="0" borderId="16" xfId="0" applyNumberForma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right"/>
      <protection hidden="1"/>
    </xf>
    <xf numFmtId="0" fontId="7" fillId="0" borderId="4" xfId="0" applyFont="1" applyFill="1" applyBorder="1" applyAlignment="1" applyProtection="1">
      <alignment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0" fontId="16" fillId="3" borderId="0" xfId="0" applyFont="1" applyFill="1" applyAlignment="1" applyProtection="1">
      <alignment/>
      <protection hidden="1" locked="0"/>
    </xf>
    <xf numFmtId="0" fontId="7" fillId="0" borderId="16" xfId="0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 applyProtection="1">
      <alignment horizontal="center"/>
      <protection hidden="1"/>
    </xf>
    <xf numFmtId="165" fontId="0" fillId="0" borderId="16" xfId="0" applyNumberFormat="1" applyFill="1" applyBorder="1" applyAlignment="1" applyProtection="1">
      <alignment horizontal="left"/>
      <protection hidden="1" locked="0"/>
    </xf>
    <xf numFmtId="165" fontId="0" fillId="0" borderId="12" xfId="0" applyNumberFormat="1" applyFill="1" applyBorder="1" applyAlignment="1" applyProtection="1">
      <alignment horizontal="left"/>
      <protection hidden="1" locked="0"/>
    </xf>
    <xf numFmtId="165" fontId="0" fillId="0" borderId="13" xfId="0" applyNumberFormat="1" applyFill="1" applyBorder="1" applyAlignment="1" applyProtection="1">
      <alignment horizontal="left"/>
      <protection hidden="1" locked="0"/>
    </xf>
    <xf numFmtId="0" fontId="0" fillId="0" borderId="16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Size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3525"/>
          <c:w val="0.90575"/>
          <c:h val="0.719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Calc!$G$3</c:f>
              <c:strCache>
                <c:ptCount val="1"/>
                <c:pt idx="0">
                  <c:v>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Calc!$F$4:$F$28</c:f>
              <c:numCache>
                <c:ptCount val="25"/>
                <c:pt idx="0">
                  <c:v>6350</c:v>
                </c:pt>
                <c:pt idx="1">
                  <c:v>4700</c:v>
                </c:pt>
                <c:pt idx="2">
                  <c:v>1650</c:v>
                </c:pt>
                <c:pt idx="3">
                  <c:v>590</c:v>
                </c:pt>
                <c:pt idx="4">
                  <c:v>415</c:v>
                </c:pt>
                <c:pt idx="5">
                  <c:v>295</c:v>
                </c:pt>
                <c:pt idx="6">
                  <c:v>210</c:v>
                </c:pt>
                <c:pt idx="7">
                  <c:v>150</c:v>
                </c:pt>
                <c:pt idx="8">
                  <c:v>105</c:v>
                </c:pt>
                <c:pt idx="9">
                  <c:v>75</c:v>
                </c:pt>
                <c:pt idx="10">
                  <c:v>53</c:v>
                </c:pt>
                <c:pt idx="11">
                  <c:v>45</c:v>
                </c:pt>
                <c:pt idx="12">
                  <c:v>38</c:v>
                </c:pt>
                <c:pt idx="13">
                  <c:v>25</c:v>
                </c:pt>
              </c:numCache>
            </c:numRef>
          </c:xVal>
          <c:yVal>
            <c:numRef>
              <c:f>Calc!$G$4:$G$28</c:f>
              <c:numCache>
                <c:ptCount val="25"/>
                <c:pt idx="0">
                  <c:v>100.18538665771484</c:v>
                </c:pt>
                <c:pt idx="1">
                  <c:v>99.6</c:v>
                </c:pt>
                <c:pt idx="2">
                  <c:v>97.59</c:v>
                </c:pt>
                <c:pt idx="3">
                  <c:v>91.05</c:v>
                </c:pt>
                <c:pt idx="4">
                  <c:v>88.58</c:v>
                </c:pt>
                <c:pt idx="5">
                  <c:v>81.27</c:v>
                </c:pt>
                <c:pt idx="6">
                  <c:v>71.77</c:v>
                </c:pt>
                <c:pt idx="7">
                  <c:v>61.19</c:v>
                </c:pt>
                <c:pt idx="8">
                  <c:v>46.04</c:v>
                </c:pt>
                <c:pt idx="9">
                  <c:v>36.72</c:v>
                </c:pt>
                <c:pt idx="10">
                  <c:v>29.04</c:v>
                </c:pt>
                <c:pt idx="11">
                  <c:v>26.83</c:v>
                </c:pt>
                <c:pt idx="12">
                  <c:v>23.99</c:v>
                </c:pt>
                <c:pt idx="13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Calc!$H$3</c:f>
              <c:strCache>
                <c:ptCount val="1"/>
                <c:pt idx="0">
                  <c:v>BMD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Calc!$F$4:$F$28</c:f>
              <c:numCache>
                <c:ptCount val="25"/>
                <c:pt idx="0">
                  <c:v>6350</c:v>
                </c:pt>
                <c:pt idx="1">
                  <c:v>4700</c:v>
                </c:pt>
                <c:pt idx="2">
                  <c:v>1650</c:v>
                </c:pt>
                <c:pt idx="3">
                  <c:v>590</c:v>
                </c:pt>
                <c:pt idx="4">
                  <c:v>415</c:v>
                </c:pt>
                <c:pt idx="5">
                  <c:v>295</c:v>
                </c:pt>
                <c:pt idx="6">
                  <c:v>210</c:v>
                </c:pt>
                <c:pt idx="7">
                  <c:v>150</c:v>
                </c:pt>
                <c:pt idx="8">
                  <c:v>105</c:v>
                </c:pt>
                <c:pt idx="9">
                  <c:v>75</c:v>
                </c:pt>
                <c:pt idx="10">
                  <c:v>53</c:v>
                </c:pt>
                <c:pt idx="11">
                  <c:v>45</c:v>
                </c:pt>
                <c:pt idx="12">
                  <c:v>38</c:v>
                </c:pt>
                <c:pt idx="13">
                  <c:v>25</c:v>
                </c:pt>
              </c:numCache>
            </c:numRef>
          </c:xVal>
          <c:yVal>
            <c:numRef>
              <c:f>Calc!$H$4:$H$28</c:f>
              <c:numCache>
                <c:ptCount val="25"/>
                <c:pt idx="0">
                  <c:v>100.95144653320312</c:v>
                </c:pt>
                <c:pt idx="1">
                  <c:v>100.7202377319336</c:v>
                </c:pt>
                <c:pt idx="2">
                  <c:v>99.92</c:v>
                </c:pt>
                <c:pt idx="3">
                  <c:v>99.14</c:v>
                </c:pt>
                <c:pt idx="4">
                  <c:v>97.78</c:v>
                </c:pt>
                <c:pt idx="5">
                  <c:v>94.28</c:v>
                </c:pt>
                <c:pt idx="6">
                  <c:v>85.07</c:v>
                </c:pt>
                <c:pt idx="7">
                  <c:v>74.85</c:v>
                </c:pt>
                <c:pt idx="8">
                  <c:v>55.15</c:v>
                </c:pt>
                <c:pt idx="9">
                  <c:v>43.8</c:v>
                </c:pt>
                <c:pt idx="10">
                  <c:v>34.25</c:v>
                </c:pt>
                <c:pt idx="11">
                  <c:v>30.62</c:v>
                </c:pt>
                <c:pt idx="12">
                  <c:v>28.88</c:v>
                </c:pt>
                <c:pt idx="13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Calc!$I$3</c:f>
              <c:strCache>
                <c:ptCount val="1"/>
                <c:pt idx="0">
                  <c:v>COF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Calc!$F$4:$F$28</c:f>
              <c:numCache>
                <c:ptCount val="25"/>
                <c:pt idx="0">
                  <c:v>6350</c:v>
                </c:pt>
                <c:pt idx="1">
                  <c:v>4700</c:v>
                </c:pt>
                <c:pt idx="2">
                  <c:v>1650</c:v>
                </c:pt>
                <c:pt idx="3">
                  <c:v>590</c:v>
                </c:pt>
                <c:pt idx="4">
                  <c:v>415</c:v>
                </c:pt>
                <c:pt idx="5">
                  <c:v>295</c:v>
                </c:pt>
                <c:pt idx="6">
                  <c:v>210</c:v>
                </c:pt>
                <c:pt idx="7">
                  <c:v>150</c:v>
                </c:pt>
                <c:pt idx="8">
                  <c:v>105</c:v>
                </c:pt>
                <c:pt idx="9">
                  <c:v>75</c:v>
                </c:pt>
                <c:pt idx="10">
                  <c:v>53</c:v>
                </c:pt>
                <c:pt idx="11">
                  <c:v>45</c:v>
                </c:pt>
                <c:pt idx="12">
                  <c:v>38</c:v>
                </c:pt>
                <c:pt idx="13">
                  <c:v>25</c:v>
                </c:pt>
              </c:numCache>
            </c:numRef>
          </c:xVal>
          <c:yVal>
            <c:numRef>
              <c:f>Calc!$I$4:$I$28</c:f>
              <c:numCache>
                <c:ptCount val="25"/>
                <c:pt idx="0">
                  <c:v>109.1717300415039</c:v>
                </c:pt>
                <c:pt idx="1">
                  <c:v>108.2333984375</c:v>
                </c:pt>
                <c:pt idx="2">
                  <c:v>105.03137969970703</c:v>
                </c:pt>
                <c:pt idx="3">
                  <c:v>101.97784423828125</c:v>
                </c:pt>
                <c:pt idx="4">
                  <c:v>100.95366668701172</c:v>
                </c:pt>
                <c:pt idx="5">
                  <c:v>99.97</c:v>
                </c:pt>
                <c:pt idx="6">
                  <c:v>99</c:v>
                </c:pt>
                <c:pt idx="7">
                  <c:v>98.55</c:v>
                </c:pt>
                <c:pt idx="8">
                  <c:v>96.04</c:v>
                </c:pt>
                <c:pt idx="9">
                  <c:v>85.57</c:v>
                </c:pt>
                <c:pt idx="10">
                  <c:v>72.2</c:v>
                </c:pt>
                <c:pt idx="11">
                  <c:v>68.27</c:v>
                </c:pt>
                <c:pt idx="12">
                  <c:v>61.76</c:v>
                </c:pt>
                <c:pt idx="1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Calc!$J$3</c:f>
              <c:strCache>
                <c:ptCount val="1"/>
                <c:pt idx="0">
                  <c:v>CUF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Calc!$F$4:$F$28</c:f>
              <c:numCache>
                <c:ptCount val="25"/>
                <c:pt idx="0">
                  <c:v>6350</c:v>
                </c:pt>
                <c:pt idx="1">
                  <c:v>4700</c:v>
                </c:pt>
                <c:pt idx="2">
                  <c:v>1650</c:v>
                </c:pt>
                <c:pt idx="3">
                  <c:v>590</c:v>
                </c:pt>
                <c:pt idx="4">
                  <c:v>415</c:v>
                </c:pt>
                <c:pt idx="5">
                  <c:v>295</c:v>
                </c:pt>
                <c:pt idx="6">
                  <c:v>210</c:v>
                </c:pt>
                <c:pt idx="7">
                  <c:v>150</c:v>
                </c:pt>
                <c:pt idx="8">
                  <c:v>105</c:v>
                </c:pt>
                <c:pt idx="9">
                  <c:v>75</c:v>
                </c:pt>
                <c:pt idx="10">
                  <c:v>53</c:v>
                </c:pt>
                <c:pt idx="11">
                  <c:v>45</c:v>
                </c:pt>
                <c:pt idx="12">
                  <c:v>38</c:v>
                </c:pt>
                <c:pt idx="13">
                  <c:v>25</c:v>
                </c:pt>
              </c:numCache>
            </c:numRef>
          </c:xVal>
          <c:yVal>
            <c:numRef>
              <c:f>Calc!$J$4:$J$28</c:f>
              <c:numCache>
                <c:ptCount val="25"/>
                <c:pt idx="0">
                  <c:v>100.11550903320312</c:v>
                </c:pt>
                <c:pt idx="1">
                  <c:v>99.98</c:v>
                </c:pt>
                <c:pt idx="2">
                  <c:v>99.51</c:v>
                </c:pt>
                <c:pt idx="3">
                  <c:v>96.09</c:v>
                </c:pt>
                <c:pt idx="4">
                  <c:v>92.39</c:v>
                </c:pt>
                <c:pt idx="5">
                  <c:v>85.21</c:v>
                </c:pt>
                <c:pt idx="6">
                  <c:v>68.7</c:v>
                </c:pt>
                <c:pt idx="7">
                  <c:v>59.95</c:v>
                </c:pt>
                <c:pt idx="8">
                  <c:v>31.55</c:v>
                </c:pt>
                <c:pt idx="9">
                  <c:v>22.1</c:v>
                </c:pt>
                <c:pt idx="10">
                  <c:v>15.8</c:v>
                </c:pt>
                <c:pt idx="11">
                  <c:v>13.88</c:v>
                </c:pt>
                <c:pt idx="12">
                  <c:v>12.58</c:v>
                </c:pt>
                <c:pt idx="13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Calc!$K$3</c:f>
              <c:strCache>
                <c:ptCount val="1"/>
                <c:pt idx="0">
                  <c:v>CBMF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Calc!$F$4:$F$28</c:f>
              <c:numCache>
                <c:ptCount val="25"/>
                <c:pt idx="0">
                  <c:v>6350</c:v>
                </c:pt>
                <c:pt idx="1">
                  <c:v>4700</c:v>
                </c:pt>
                <c:pt idx="2">
                  <c:v>1650</c:v>
                </c:pt>
                <c:pt idx="3">
                  <c:v>590</c:v>
                </c:pt>
                <c:pt idx="4">
                  <c:v>415</c:v>
                </c:pt>
                <c:pt idx="5">
                  <c:v>295</c:v>
                </c:pt>
                <c:pt idx="6">
                  <c:v>210</c:v>
                </c:pt>
                <c:pt idx="7">
                  <c:v>150</c:v>
                </c:pt>
                <c:pt idx="8">
                  <c:v>105</c:v>
                </c:pt>
                <c:pt idx="9">
                  <c:v>75</c:v>
                </c:pt>
                <c:pt idx="10">
                  <c:v>53</c:v>
                </c:pt>
                <c:pt idx="11">
                  <c:v>45</c:v>
                </c:pt>
                <c:pt idx="12">
                  <c:v>38</c:v>
                </c:pt>
                <c:pt idx="13">
                  <c:v>25</c:v>
                </c:pt>
              </c:numCache>
            </c:numRef>
          </c:xVal>
          <c:yVal>
            <c:numRef>
              <c:f>Calc!$K$4:$K$28</c:f>
              <c:numCache>
                <c:ptCount val="25"/>
                <c:pt idx="0">
                  <c:v>100.18538665771484</c:v>
                </c:pt>
                <c:pt idx="1">
                  <c:v>99.6</c:v>
                </c:pt>
                <c:pt idx="2">
                  <c:v>97.59</c:v>
                </c:pt>
                <c:pt idx="3">
                  <c:v>91.05</c:v>
                </c:pt>
                <c:pt idx="4">
                  <c:v>88.58</c:v>
                </c:pt>
                <c:pt idx="5">
                  <c:v>81.27</c:v>
                </c:pt>
                <c:pt idx="6">
                  <c:v>71.77</c:v>
                </c:pt>
                <c:pt idx="7">
                  <c:v>61.19</c:v>
                </c:pt>
                <c:pt idx="8">
                  <c:v>46.04</c:v>
                </c:pt>
                <c:pt idx="9">
                  <c:v>36.72</c:v>
                </c:pt>
                <c:pt idx="10">
                  <c:v>29.04</c:v>
                </c:pt>
                <c:pt idx="11">
                  <c:v>26.83</c:v>
                </c:pt>
                <c:pt idx="12">
                  <c:v>23.99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574844"/>
        <c:axId val="5173597"/>
      </c:scatterChart>
      <c:valAx>
        <c:axId val="57484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(microns)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3597"/>
        <c:crosses val="autoZero"/>
        <c:crossBetween val="midCat"/>
        <c:dispUnits/>
      </c:valAx>
      <c:valAx>
        <c:axId val="517359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Passing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4844"/>
        <c:crossesAt val="10"/>
        <c:crossBetween val="midCat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8525"/>
          <c:y val="0.94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Reduction Ratios</a:t>
            </a:r>
          </a:p>
        </c:rich>
      </c:tx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0175"/>
          <c:w val="0.92175"/>
          <c:h val="0.74725"/>
        </c:manualLayout>
      </c:layout>
      <c:scatterChart>
        <c:scatterStyle val="smoothMarker"/>
        <c:varyColors val="0"/>
        <c:ser>
          <c:idx val="0"/>
          <c:order val="0"/>
          <c:tx>
            <c:v>Mill Reduction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Calc!$BA$8:$BA$17</c:f>
              <c:numCach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xVal>
          <c:yVal>
            <c:numRef>
              <c:f>Calc!$BL$8:$BL$17</c:f>
              <c:numCache>
                <c:ptCount val="10"/>
                <c:pt idx="0">
                  <c:v>3.150478494665553</c:v>
                </c:pt>
                <c:pt idx="1">
                  <c:v>2.01046498408196</c:v>
                </c:pt>
                <c:pt idx="2">
                  <c:v>1.5814593670105694</c:v>
                </c:pt>
                <c:pt idx="3">
                  <c:v>1.4362265588037322</c:v>
                </c:pt>
                <c:pt idx="4">
                  <c:v>1.2631660878156015</c:v>
                </c:pt>
                <c:pt idx="5">
                  <c:v>1.2796765472436966</c:v>
                </c:pt>
                <c:pt idx="6">
                  <c:v>1.2909630373084238</c:v>
                </c:pt>
                <c:pt idx="7">
                  <c:v>1.3111047697915124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Circuit Reduction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Calc!$BA$8:$BA$17</c:f>
              <c:numCache>
                <c:ptCount val="10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40</c:v>
                </c:pt>
                <c:pt idx="7">
                  <c:v>30</c:v>
                </c:pt>
                <c:pt idx="8">
                  <c:v>20</c:v>
                </c:pt>
                <c:pt idx="9">
                  <c:v>10</c:v>
                </c:pt>
              </c:numCache>
            </c:numRef>
          </c:xVal>
          <c:yVal>
            <c:numRef>
              <c:f>Calc!$BL$23:$BL$32</c:f>
              <c:numCache>
                <c:ptCount val="10"/>
                <c:pt idx="0">
                  <c:v>3.150478494665553</c:v>
                </c:pt>
                <c:pt idx="1">
                  <c:v>2.01046498408196</c:v>
                </c:pt>
                <c:pt idx="2">
                  <c:v>1.5814593670105694</c:v>
                </c:pt>
                <c:pt idx="3">
                  <c:v>1.4362265588037322</c:v>
                </c:pt>
                <c:pt idx="4">
                  <c:v>1.2631660878156015</c:v>
                </c:pt>
                <c:pt idx="5">
                  <c:v>1.2796765472436966</c:v>
                </c:pt>
                <c:pt idx="6">
                  <c:v>1.2909630373084238</c:v>
                </c:pt>
                <c:pt idx="7">
                  <c:v>1.3111047697915124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46562374"/>
        <c:axId val="16408183"/>
      </c:scatterChart>
      <c:valAx>
        <c:axId val="46562374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Size Fraction (% Passing)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08183"/>
        <c:crossesAt val="0"/>
        <c:crossBetween val="midCat"/>
        <c:dispUnits/>
      </c:valAx>
      <c:valAx>
        <c:axId val="16408183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Reduction Ratio (%/%)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62374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4175"/>
          <c:y val="0.9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1.emf" /><Relationship Id="rId5" Type="http://schemas.openxmlformats.org/officeDocument/2006/relationships/image" Target="../media/image12.emf" /><Relationship Id="rId6" Type="http://schemas.openxmlformats.org/officeDocument/2006/relationships/image" Target="../media/image9.emf" /><Relationship Id="rId7" Type="http://schemas.openxmlformats.org/officeDocument/2006/relationships/image" Target="../media/image1.emf" /><Relationship Id="rId8" Type="http://schemas.openxmlformats.org/officeDocument/2006/relationships/image" Target="../media/image5.emf" /><Relationship Id="rId9" Type="http://schemas.openxmlformats.org/officeDocument/2006/relationships/image" Target="../media/image10.emf" /><Relationship Id="rId10" Type="http://schemas.openxmlformats.org/officeDocument/2006/relationships/image" Target="../media/image6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552450</xdr:colOff>
      <xdr:row>0</xdr:row>
      <xdr:rowOff>428625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t="6666" r="60000" b="8888"/>
        <a:stretch>
          <a:fillRect/>
        </a:stretch>
      </xdr:blipFill>
      <xdr:spPr>
        <a:xfrm>
          <a:off x="9525" y="666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438150</xdr:colOff>
      <xdr:row>5</xdr:row>
      <xdr:rowOff>104775</xdr:rowOff>
    </xdr:to>
    <xdr:pic>
      <xdr:nvPicPr>
        <xdr:cNvPr id="2" name="MDUnit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62300" y="9810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4</xdr:row>
      <xdr:rowOff>0</xdr:rowOff>
    </xdr:from>
    <xdr:to>
      <xdr:col>5</xdr:col>
      <xdr:colOff>400050</xdr:colOff>
      <xdr:row>5</xdr:row>
      <xdr:rowOff>104775</xdr:rowOff>
    </xdr:to>
    <xdr:pic>
      <xdr:nvPicPr>
        <xdr:cNvPr id="3" name="MDUnit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981075"/>
          <a:ext cx="523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142875</xdr:rowOff>
    </xdr:from>
    <xdr:to>
      <xdr:col>4</xdr:col>
      <xdr:colOff>438150</xdr:colOff>
      <xdr:row>7</xdr:row>
      <xdr:rowOff>85725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12858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5</xdr:row>
      <xdr:rowOff>142875</xdr:rowOff>
    </xdr:from>
    <xdr:to>
      <xdr:col>5</xdr:col>
      <xdr:colOff>523875</xdr:colOff>
      <xdr:row>7</xdr:row>
      <xdr:rowOff>85725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48075" y="12858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2</xdr:col>
      <xdr:colOff>1038225</xdr:colOff>
      <xdr:row>14</xdr:row>
      <xdr:rowOff>104775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247650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11</xdr:row>
      <xdr:rowOff>142875</xdr:rowOff>
    </xdr:from>
    <xdr:to>
      <xdr:col>2</xdr:col>
      <xdr:colOff>1047750</xdr:colOff>
      <xdr:row>13</xdr:row>
      <xdr:rowOff>47625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38325" y="22574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95250</xdr:rowOff>
    </xdr:from>
    <xdr:to>
      <xdr:col>2</xdr:col>
      <xdr:colOff>1038225</xdr:colOff>
      <xdr:row>16</xdr:row>
      <xdr:rowOff>0</xdr:rowOff>
    </xdr:to>
    <xdr:pic>
      <xdr:nvPicPr>
        <xdr:cNvPr id="8" name="OptionButton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28800" y="269557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19050</xdr:rowOff>
    </xdr:from>
    <xdr:to>
      <xdr:col>4</xdr:col>
      <xdr:colOff>247650</xdr:colOff>
      <xdr:row>20</xdr:row>
      <xdr:rowOff>66675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28800" y="3429000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76200</xdr:rowOff>
    </xdr:from>
    <xdr:to>
      <xdr:col>4</xdr:col>
      <xdr:colOff>247650</xdr:colOff>
      <xdr:row>21</xdr:row>
      <xdr:rowOff>114300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3648075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133350</xdr:rowOff>
    </xdr:from>
    <xdr:to>
      <xdr:col>4</xdr:col>
      <xdr:colOff>247650</xdr:colOff>
      <xdr:row>23</xdr:row>
      <xdr:rowOff>19050</xdr:rowOff>
    </xdr:to>
    <xdr:pic>
      <xdr:nvPicPr>
        <xdr:cNvPr id="11" name="OptionButton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28800" y="3876675"/>
          <a:ext cx="1581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4</xdr:row>
      <xdr:rowOff>0</xdr:rowOff>
    </xdr:from>
    <xdr:to>
      <xdr:col>15</xdr:col>
      <xdr:colOff>200025</xdr:colOff>
      <xdr:row>5</xdr:row>
      <xdr:rowOff>0</xdr:rowOff>
    </xdr:to>
    <xdr:pic>
      <xdr:nvPicPr>
        <xdr:cNvPr id="12" name="OptionButton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734550" y="98107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9525</xdr:rowOff>
    </xdr:from>
    <xdr:to>
      <xdr:col>15</xdr:col>
      <xdr:colOff>200025</xdr:colOff>
      <xdr:row>6</xdr:row>
      <xdr:rowOff>9525</xdr:rowOff>
    </xdr:to>
    <xdr:pic>
      <xdr:nvPicPr>
        <xdr:cNvPr id="13" name="OptionButton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34550" y="115252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142875</xdr:rowOff>
    </xdr:from>
    <xdr:to>
      <xdr:col>19</xdr:col>
      <xdr:colOff>561975</xdr:colOff>
      <xdr:row>29</xdr:row>
      <xdr:rowOff>28575</xdr:rowOff>
    </xdr:to>
    <xdr:graphicFrame>
      <xdr:nvGraphicFramePr>
        <xdr:cNvPr id="1" name="Chart 2"/>
        <xdr:cNvGraphicFramePr/>
      </xdr:nvGraphicFramePr>
      <xdr:xfrm>
        <a:off x="5410200" y="142875"/>
        <a:ext cx="61626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47625</xdr:colOff>
      <xdr:row>31</xdr:row>
      <xdr:rowOff>85725</xdr:rowOff>
    </xdr:from>
    <xdr:to>
      <xdr:col>19</xdr:col>
      <xdr:colOff>561975</xdr:colOff>
      <xdr:row>54</xdr:row>
      <xdr:rowOff>0</xdr:rowOff>
    </xdr:to>
    <xdr:graphicFrame>
      <xdr:nvGraphicFramePr>
        <xdr:cNvPr id="2" name="Chart 3"/>
        <xdr:cNvGraphicFramePr/>
      </xdr:nvGraphicFramePr>
      <xdr:xfrm>
        <a:off x="5410200" y="4705350"/>
        <a:ext cx="616267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1</xdr:col>
      <xdr:colOff>161925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6666" r="60000" b="8888"/>
        <a:stretch>
          <a:fillRect/>
        </a:stretch>
      </xdr:blipFill>
      <xdr:spPr>
        <a:xfrm>
          <a:off x="9525" y="666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5</xdr:row>
      <xdr:rowOff>38100</xdr:rowOff>
    </xdr:from>
    <xdr:to>
      <xdr:col>10</xdr:col>
      <xdr:colOff>447675</xdr:colOff>
      <xdr:row>18</xdr:row>
      <xdr:rowOff>76200</xdr:rowOff>
    </xdr:to>
    <xdr:pic>
      <xdr:nvPicPr>
        <xdr:cNvPr id="2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1181100"/>
          <a:ext cx="46863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37"/>
  <sheetViews>
    <sheetView showGridLines="0" showRowColHeaders="0" tabSelected="1" showOutlineSymbols="0" workbookViewId="0" topLeftCell="A1">
      <pane ySplit="1" topLeftCell="BM2" activePane="bottomLeft" state="frozen"/>
      <selection pane="topLeft" activeCell="A1" sqref="A1"/>
      <selection pane="bottomLeft" activeCell="C36" sqref="C36"/>
    </sheetView>
  </sheetViews>
  <sheetFormatPr defaultColWidth="9.140625" defaultRowHeight="12.75"/>
  <cols>
    <col min="1" max="1" width="3.28125" style="2" customWidth="1"/>
    <col min="2" max="2" width="24.140625" style="2" customWidth="1"/>
    <col min="3" max="3" width="18.140625" style="2" bestFit="1" customWidth="1"/>
    <col min="4" max="4" width="1.8515625" style="2" customWidth="1"/>
    <col min="5" max="6" width="9.140625" style="2" customWidth="1"/>
    <col min="7" max="7" width="4.421875" style="2" customWidth="1"/>
    <col min="8" max="13" width="10.8515625" style="2" customWidth="1"/>
    <col min="14" max="14" width="9.7109375" style="2" customWidth="1"/>
    <col min="15" max="16384" width="9.140625" style="2" customWidth="1"/>
  </cols>
  <sheetData>
    <row r="1" s="1" customFormat="1" ht="39" customHeight="1">
      <c r="C1" s="1" t="s">
        <v>148</v>
      </c>
    </row>
    <row r="2" ht="12.75" customHeight="1"/>
    <row r="3" spans="2:12" ht="12.75" customHeight="1">
      <c r="B3" s="2" t="s">
        <v>130</v>
      </c>
      <c r="C3" s="33"/>
      <c r="D3" s="29"/>
      <c r="E3" s="29"/>
      <c r="F3" s="29"/>
      <c r="G3" s="29"/>
      <c r="H3" s="29"/>
      <c r="I3" s="29"/>
      <c r="J3" s="29"/>
      <c r="K3" s="29"/>
      <c r="L3" s="30"/>
    </row>
    <row r="5" spans="2:14" ht="12.75">
      <c r="B5" s="2" t="s">
        <v>0</v>
      </c>
      <c r="C5" s="8"/>
      <c r="H5" s="3" t="s">
        <v>8</v>
      </c>
      <c r="I5" s="5" t="s">
        <v>10</v>
      </c>
      <c r="J5" s="5" t="s">
        <v>12</v>
      </c>
      <c r="K5" s="5" t="s">
        <v>14</v>
      </c>
      <c r="L5" s="6" t="s">
        <v>14</v>
      </c>
      <c r="N5" s="18" t="s">
        <v>68</v>
      </c>
    </row>
    <row r="6" spans="8:14" ht="12.75">
      <c r="H6" s="4" t="s">
        <v>9</v>
      </c>
      <c r="I6" s="5" t="s">
        <v>11</v>
      </c>
      <c r="J6" s="5" t="s">
        <v>13</v>
      </c>
      <c r="K6" s="5" t="s">
        <v>15</v>
      </c>
      <c r="L6" s="6" t="s">
        <v>16</v>
      </c>
      <c r="N6" s="19" t="s">
        <v>69</v>
      </c>
    </row>
    <row r="7" spans="2:14" ht="12.75">
      <c r="B7" s="2" t="s">
        <v>1</v>
      </c>
      <c r="C7" s="8"/>
      <c r="H7" s="10"/>
      <c r="I7" s="8"/>
      <c r="J7" s="8"/>
      <c r="K7" s="8"/>
      <c r="L7" s="11"/>
      <c r="N7" s="31"/>
    </row>
    <row r="8" spans="8:14" ht="12.75">
      <c r="H8" s="10"/>
      <c r="I8" s="8"/>
      <c r="J8" s="8"/>
      <c r="K8" s="8"/>
      <c r="L8" s="11"/>
      <c r="N8" s="31"/>
    </row>
    <row r="9" spans="2:14" ht="12.75">
      <c r="B9" s="2" t="s">
        <v>2</v>
      </c>
      <c r="C9" s="8"/>
      <c r="E9" s="2" t="s">
        <v>3</v>
      </c>
      <c r="H9" s="10"/>
      <c r="I9" s="8"/>
      <c r="J9" s="8"/>
      <c r="K9" s="8"/>
      <c r="L9" s="11"/>
      <c r="N9" s="31"/>
    </row>
    <row r="10" spans="8:14" ht="12.75">
      <c r="H10" s="10"/>
      <c r="I10" s="8"/>
      <c r="J10" s="8"/>
      <c r="K10" s="8"/>
      <c r="L10" s="11"/>
      <c r="N10" s="31"/>
    </row>
    <row r="11" spans="2:14" ht="12.75">
      <c r="B11" s="2" t="s">
        <v>4</v>
      </c>
      <c r="C11" s="8"/>
      <c r="E11" s="2" t="s">
        <v>5</v>
      </c>
      <c r="H11" s="10"/>
      <c r="I11" s="8"/>
      <c r="J11" s="8"/>
      <c r="K11" s="8"/>
      <c r="L11" s="11"/>
      <c r="N11" s="31"/>
    </row>
    <row r="12" spans="8:14" ht="12.75">
      <c r="H12" s="10"/>
      <c r="I12" s="8"/>
      <c r="J12" s="8"/>
      <c r="K12" s="8"/>
      <c r="L12" s="11"/>
      <c r="N12" s="31"/>
    </row>
    <row r="13" spans="2:14" ht="12.75">
      <c r="B13" s="2" t="s">
        <v>6</v>
      </c>
      <c r="H13" s="10"/>
      <c r="I13" s="8"/>
      <c r="J13" s="8"/>
      <c r="K13" s="8"/>
      <c r="L13" s="11"/>
      <c r="N13" s="31"/>
    </row>
    <row r="14" spans="8:14" ht="12.75">
      <c r="H14" s="10"/>
      <c r="I14" s="8"/>
      <c r="J14" s="8"/>
      <c r="K14" s="8"/>
      <c r="L14" s="11"/>
      <c r="N14" s="31"/>
    </row>
    <row r="15" spans="8:14" ht="12.75">
      <c r="H15" s="10"/>
      <c r="I15" s="8"/>
      <c r="J15" s="8"/>
      <c r="K15" s="8"/>
      <c r="L15" s="11"/>
      <c r="N15" s="31"/>
    </row>
    <row r="16" spans="8:14" ht="12.75">
      <c r="H16" s="10"/>
      <c r="I16" s="8"/>
      <c r="J16" s="8"/>
      <c r="K16" s="8"/>
      <c r="L16" s="11"/>
      <c r="N16" s="31"/>
    </row>
    <row r="17" spans="8:14" ht="12.75">
      <c r="H17" s="10"/>
      <c r="I17" s="8"/>
      <c r="J17" s="8"/>
      <c r="K17" s="8"/>
      <c r="L17" s="11"/>
      <c r="N17" s="31"/>
    </row>
    <row r="18" spans="2:14" ht="12.75">
      <c r="B18" s="2" t="s">
        <v>7</v>
      </c>
      <c r="C18" s="9"/>
      <c r="E18" s="7"/>
      <c r="H18" s="10"/>
      <c r="I18" s="8"/>
      <c r="J18" s="8"/>
      <c r="K18" s="8"/>
      <c r="L18" s="11"/>
      <c r="N18" s="31"/>
    </row>
    <row r="19" spans="8:14" ht="12.75">
      <c r="H19" s="10"/>
      <c r="I19" s="8"/>
      <c r="J19" s="8"/>
      <c r="K19" s="8"/>
      <c r="L19" s="11"/>
      <c r="N19" s="31"/>
    </row>
    <row r="20" spans="2:14" ht="12.75">
      <c r="B20" s="2" t="s">
        <v>17</v>
      </c>
      <c r="H20" s="10"/>
      <c r="I20" s="8"/>
      <c r="J20" s="8"/>
      <c r="K20" s="8"/>
      <c r="L20" s="11"/>
      <c r="N20" s="31"/>
    </row>
    <row r="21" spans="8:14" ht="13.5" thickBot="1">
      <c r="H21" s="10"/>
      <c r="I21" s="8"/>
      <c r="J21" s="8"/>
      <c r="K21" s="8"/>
      <c r="L21" s="11"/>
      <c r="N21" s="32"/>
    </row>
    <row r="22" spans="8:14" ht="12.75">
      <c r="H22" s="10"/>
      <c r="I22" s="8"/>
      <c r="J22" s="8"/>
      <c r="K22" s="8"/>
      <c r="L22" s="11"/>
      <c r="N22" s="20"/>
    </row>
    <row r="23" spans="8:14" ht="12.75">
      <c r="H23" s="10"/>
      <c r="I23" s="8"/>
      <c r="J23" s="8"/>
      <c r="K23" s="8"/>
      <c r="L23" s="11"/>
      <c r="N23" s="20"/>
    </row>
    <row r="24" spans="8:14" ht="12.75">
      <c r="H24" s="10"/>
      <c r="I24" s="8"/>
      <c r="J24" s="8"/>
      <c r="K24" s="8"/>
      <c r="L24" s="11"/>
      <c r="N24" s="20"/>
    </row>
    <row r="25" spans="2:14" ht="12.75">
      <c r="B25" s="2" t="s">
        <v>330</v>
      </c>
      <c r="C25" s="34"/>
      <c r="D25" s="29"/>
      <c r="E25" s="29"/>
      <c r="F25" s="30"/>
      <c r="H25" s="10"/>
      <c r="I25" s="8"/>
      <c r="J25" s="8"/>
      <c r="K25" s="8"/>
      <c r="L25" s="11"/>
      <c r="N25" s="20"/>
    </row>
    <row r="26" spans="8:14" ht="12.75">
      <c r="H26" s="10"/>
      <c r="I26" s="8"/>
      <c r="J26" s="8"/>
      <c r="K26" s="8"/>
      <c r="L26" s="11"/>
      <c r="N26" s="20"/>
    </row>
    <row r="27" spans="8:14" ht="12.75">
      <c r="H27" s="10"/>
      <c r="I27" s="8"/>
      <c r="J27" s="8"/>
      <c r="K27" s="8"/>
      <c r="L27" s="11"/>
      <c r="N27" s="20"/>
    </row>
    <row r="28" spans="8:14" ht="12.75">
      <c r="H28" s="10"/>
      <c r="I28" s="8"/>
      <c r="J28" s="8"/>
      <c r="K28" s="8"/>
      <c r="L28" s="11"/>
      <c r="N28" s="20"/>
    </row>
    <row r="29" spans="8:14" ht="12.75">
      <c r="H29" s="10"/>
      <c r="I29" s="8"/>
      <c r="J29" s="8"/>
      <c r="K29" s="8"/>
      <c r="L29" s="11"/>
      <c r="N29" s="20"/>
    </row>
    <row r="30" spans="8:14" ht="12.75">
      <c r="H30" s="10"/>
      <c r="I30" s="8"/>
      <c r="J30" s="8"/>
      <c r="K30" s="8"/>
      <c r="L30" s="11"/>
      <c r="N30" s="20"/>
    </row>
    <row r="31" spans="8:14" ht="13.5" thickBot="1">
      <c r="H31" s="12"/>
      <c r="I31" s="13"/>
      <c r="J31" s="13"/>
      <c r="K31" s="13"/>
      <c r="L31" s="14"/>
      <c r="N31" s="20"/>
    </row>
    <row r="37" ht="12.75">
      <c r="B37" s="28"/>
    </row>
  </sheetData>
  <sheetProtection password="E8EE" sheet="1" objects="1" scenarios="1"/>
  <dataValidations count="1">
    <dataValidation type="whole" allowBlank="1" showInputMessage="1" showErrorMessage="1" errorTitle="PERI BCE" error="You must enter a value between 10 and 25" sqref="C18">
      <formula1>10</formula1>
      <formula2>25</formula2>
    </dataValidation>
  </dataValidation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V59"/>
  <sheetViews>
    <sheetView showGridLines="0" showOutlineSymbols="0" workbookViewId="0" topLeftCell="A1">
      <selection activeCell="D16" sqref="D16"/>
    </sheetView>
  </sheetViews>
  <sheetFormatPr defaultColWidth="9.140625" defaultRowHeight="12.75"/>
  <cols>
    <col min="1" max="1" width="3.140625" style="36" customWidth="1"/>
    <col min="2" max="2" width="18.140625" style="36" customWidth="1"/>
    <col min="3" max="3" width="11.28125" style="36" customWidth="1"/>
    <col min="4" max="4" width="6.140625" style="36" customWidth="1"/>
    <col min="5" max="5" width="3.28125" style="36" customWidth="1"/>
    <col min="6" max="6" width="15.8515625" style="36" customWidth="1"/>
    <col min="7" max="7" width="12.421875" style="36" customWidth="1"/>
    <col min="8" max="8" width="7.28125" style="36" customWidth="1"/>
    <col min="9" max="9" width="2.8515625" style="36" customWidth="1"/>
    <col min="10" max="10" width="2.421875" style="36" customWidth="1"/>
    <col min="11" max="20" width="9.140625" style="36" customWidth="1"/>
    <col min="21" max="21" width="4.28125" style="36" customWidth="1"/>
    <col min="22" max="22" width="11.421875" style="36" customWidth="1"/>
    <col min="23" max="23" width="10.00390625" style="36" customWidth="1"/>
    <col min="24" max="24" width="9.140625" style="36" customWidth="1"/>
    <col min="25" max="25" width="10.28125" style="36" customWidth="1"/>
    <col min="26" max="26" width="10.8515625" style="36" customWidth="1"/>
    <col min="27" max="27" width="10.140625" style="36" customWidth="1"/>
    <col min="28" max="30" width="9.140625" style="36" customWidth="1"/>
    <col min="31" max="31" width="2.57421875" style="36" customWidth="1"/>
    <col min="32" max="32" width="1.8515625" style="36" customWidth="1"/>
    <col min="33" max="48" width="5.7109375" style="36" customWidth="1"/>
    <col min="49" max="49" width="2.28125" style="36" customWidth="1"/>
    <col min="50" max="16384" width="9.140625" style="36" customWidth="1"/>
  </cols>
  <sheetData>
    <row r="2" spans="2:33" ht="15.75">
      <c r="B2" s="35" t="s">
        <v>149</v>
      </c>
      <c r="G2" s="37"/>
      <c r="V2" s="35" t="s">
        <v>173</v>
      </c>
      <c r="AG2" s="35" t="s">
        <v>172</v>
      </c>
    </row>
    <row r="3" spans="2:7" ht="12.75" customHeight="1">
      <c r="B3" s="38"/>
      <c r="G3" s="37"/>
    </row>
    <row r="4" spans="2:24" ht="12.75" customHeight="1">
      <c r="B4" s="38" t="s">
        <v>139</v>
      </c>
      <c r="C4" s="66">
        <v>36339.54350694444</v>
      </c>
      <c r="D4" s="67"/>
      <c r="E4" s="68"/>
      <c r="V4" s="38" t="s">
        <v>158</v>
      </c>
      <c r="W4" s="39">
        <f>GSTD</f>
        <v>1599.6627197265625</v>
      </c>
      <c r="X4" s="40" t="s">
        <v>154</v>
      </c>
    </row>
    <row r="5" ht="3.75" customHeight="1"/>
    <row r="6" spans="2:23" ht="12.75">
      <c r="B6" s="38" t="s">
        <v>130</v>
      </c>
      <c r="C6" s="69">
        <f>Description</f>
        <v>0</v>
      </c>
      <c r="D6" s="70"/>
      <c r="E6" s="70"/>
      <c r="F6" s="70"/>
      <c r="G6" s="70"/>
      <c r="H6" s="71"/>
      <c r="V6" s="38" t="s">
        <v>159</v>
      </c>
      <c r="W6" s="42">
        <f>Calc!AF32</f>
        <v>66.47979662125466</v>
      </c>
    </row>
    <row r="7" ht="3.75" customHeight="1"/>
    <row r="8" spans="2:23" ht="12.75">
      <c r="B8" s="38" t="s">
        <v>0</v>
      </c>
      <c r="C8" s="43">
        <f>millDiameter</f>
        <v>0</v>
      </c>
      <c r="D8" s="41" t="str">
        <f>IF(MDFeet,"ft","m")</f>
        <v>m</v>
      </c>
      <c r="F8" s="38" t="s">
        <v>1</v>
      </c>
      <c r="G8" s="43">
        <f>millSpeed</f>
        <v>0</v>
      </c>
      <c r="H8" s="44" t="str">
        <f>IF(MSRPM,"rpm","% CS")</f>
        <v>% CS</v>
      </c>
      <c r="V8" s="38" t="s">
        <v>78</v>
      </c>
      <c r="W8" s="45" t="e">
        <f>Index</f>
        <v>#DIV/0!</v>
      </c>
    </row>
    <row r="9" ht="3.75" customHeight="1"/>
    <row r="10" spans="2:33" ht="12.75">
      <c r="B10" s="38" t="s">
        <v>140</v>
      </c>
      <c r="C10" s="46">
        <f>bwi</f>
        <v>0</v>
      </c>
      <c r="D10" s="44" t="s">
        <v>3</v>
      </c>
      <c r="F10" s="38" t="s">
        <v>4</v>
      </c>
      <c r="G10" s="46">
        <f>sg</f>
        <v>0</v>
      </c>
      <c r="H10" s="44"/>
      <c r="AG10" s="38" t="s">
        <v>174</v>
      </c>
    </row>
    <row r="11" ht="3.75" customHeight="1">
      <c r="AE11" s="47"/>
    </row>
    <row r="12" spans="2:31" ht="12.75">
      <c r="B12" s="38" t="s">
        <v>141</v>
      </c>
      <c r="C12" s="72" t="str">
        <f>IF(CT=1,"After Mill",IF(CT=2,"Before Mill","None"))</f>
        <v>None</v>
      </c>
      <c r="D12" s="73"/>
      <c r="V12" s="48"/>
      <c r="W12" s="48"/>
      <c r="X12" s="48"/>
      <c r="Y12" s="48" t="s">
        <v>96</v>
      </c>
      <c r="Z12" s="48" t="s">
        <v>162</v>
      </c>
      <c r="AA12" s="48"/>
      <c r="AB12" s="48" t="s">
        <v>98</v>
      </c>
      <c r="AC12" s="48" t="s">
        <v>165</v>
      </c>
      <c r="AD12" s="48"/>
      <c r="AE12" s="47"/>
    </row>
    <row r="13" spans="22:48" ht="14.25">
      <c r="V13" s="49" t="s">
        <v>160</v>
      </c>
      <c r="W13" s="50" t="s">
        <v>161</v>
      </c>
      <c r="X13" s="49" t="s">
        <v>164</v>
      </c>
      <c r="Y13" s="49" t="s">
        <v>164</v>
      </c>
      <c r="Z13" s="49" t="str">
        <f>"Size "&amp;IF(BSInches,"(in)","(mm")</f>
        <v>Size (mm</v>
      </c>
      <c r="AA13" s="49" t="s">
        <v>168</v>
      </c>
      <c r="AB13" s="49" t="s">
        <v>163</v>
      </c>
      <c r="AC13" s="49" t="s">
        <v>166</v>
      </c>
      <c r="AD13" s="49" t="s">
        <v>167</v>
      </c>
      <c r="AE13" s="47"/>
      <c r="AG13" s="51">
        <f>IF(Calc!AH27=0,"",IF(BSInches,TEXT(Calc!AH27/25.4,"0.00"),TEXT(Calc!AH27,"0.0")))</f>
      </c>
      <c r="AH13" s="52" t="e">
        <f>IF(Calc!AI27=0,"",IF(BSInches,TEXT(Calc!AI27/25.4,"0.00"),TEXT(Calc!AI27,"0.0")))</f>
        <v>#VALUE!</v>
      </c>
      <c r="AI13" s="52" t="e">
        <f>IF(Calc!AJ27=0,"",IF(BSInches,TEXT(Calc!AJ27/25.4,"0.00"),TEXT(Calc!AJ27,"0.0")))</f>
        <v>#DIV/0!</v>
      </c>
      <c r="AJ13" s="52" t="e">
        <f>IF(Calc!AK27=0,"",IF(BSInches,TEXT(Calc!AK27/25.4,"0.00"),TEXT(Calc!AK27,"0.0")))</f>
        <v>#DIV/0!</v>
      </c>
      <c r="AK13" s="52" t="e">
        <f>IF(Calc!AL27=0,"",IF(BSInches,TEXT(Calc!AL27/25.4,"0.00"),TEXT(Calc!AL27,"0.0")))</f>
        <v>#DIV/0!</v>
      </c>
      <c r="AL13" s="52" t="e">
        <f>IF(Calc!AM27=0,"",IF(BSInches,TEXT(Calc!AM27/25.4,"0.00"),TEXT(Calc!AM27,"0.0")))</f>
        <v>#DIV/0!</v>
      </c>
      <c r="AM13" s="52" t="e">
        <f>IF(Calc!AN27=0,"",IF(BSInches,TEXT(Calc!AN27/25.4,"0.00"),TEXT(Calc!AN27,"0.0")))</f>
        <v>#DIV/0!</v>
      </c>
      <c r="AN13" s="52" t="e">
        <f>IF(Calc!AO27=0,"",IF(BSInches,TEXT(Calc!AO27/25.4,"0.00"),TEXT(Calc!AO27,"0.0")))</f>
        <v>#DIV/0!</v>
      </c>
      <c r="AO13" s="52" t="e">
        <f>IF(Calc!AP27=0,"",IF(BSInches,TEXT(Calc!AP27/25.4,"0.00"),TEXT(Calc!AP27,"0.0")))</f>
        <v>#DIV/0!</v>
      </c>
      <c r="AP13" s="52" t="e">
        <f>IF(Calc!AQ27=0,"",IF(BSInches,TEXT(Calc!AQ27/25.4,"0.00"),TEXT(Calc!AQ27,"0.0")))</f>
        <v>#DIV/0!</v>
      </c>
      <c r="AQ13" s="52" t="e">
        <f>IF(Calc!AR27=0,"",IF(BSInches,TEXT(Calc!AR27/25.4,"0.00"),TEXT(Calc!AR27,"0.0")))</f>
        <v>#DIV/0!</v>
      </c>
      <c r="AR13" s="52" t="e">
        <f>IF(Calc!AS27=0,"",IF(BSInches,TEXT(Calc!AS27/25.4,"0.00"),TEXT(Calc!AS27,"0.0")))</f>
        <v>#DIV/0!</v>
      </c>
      <c r="AS13" s="52" t="e">
        <f>IF(Calc!AT27=0,"",IF(BSInches,TEXT(Calc!AT27/25.4,"0.00"),TEXT(Calc!AT27,"0.0")))</f>
        <v>#DIV/0!</v>
      </c>
      <c r="AT13" s="52" t="e">
        <f>IF(Calc!AU27=0,"",IF(BSInches,TEXT(Calc!AU27/25.4,"0.00"),TEXT(Calc!AU27,"0.0")))</f>
        <v>#DIV/0!</v>
      </c>
      <c r="AU13" s="52" t="e">
        <f>IF(Calc!AV27=0,"",IF(BSInches,TEXT(Calc!AV27/25.4,"0.00"),TEXT(Calc!AV27,"0.0")))</f>
        <v>#DIV/0!</v>
      </c>
      <c r="AV13" s="53"/>
    </row>
    <row r="14" spans="22:48" ht="12.75">
      <c r="V14" s="54" t="e">
        <f>IF(Calc!X7&lt;=Index,Calc!X7,"")</f>
        <v>#DIV/0!</v>
      </c>
      <c r="W14" s="45" t="e">
        <f>IF($V14&lt;&gt;"",Calc!Y7,"")</f>
        <v>#DIV/0!</v>
      </c>
      <c r="X14" s="42" t="e">
        <f>IF($V14&lt;&gt;"",Calc!AF7,"")</f>
        <v>#DIV/0!</v>
      </c>
      <c r="Y14" s="42" t="e">
        <f>IF($V14&lt;&gt;"",Calc!AG7,"")</f>
        <v>#DIV/0!</v>
      </c>
      <c r="Z14" s="42" t="e">
        <f>IF($V14&lt;&gt;"",IF(BSInches,Calc!AD7/25.4,Calc!AD7),"")</f>
        <v>#DIV/0!</v>
      </c>
      <c r="AA14" s="42" t="e">
        <f>IF($V14&lt;&gt;"",Calc!AH7,"")</f>
        <v>#DIV/0!</v>
      </c>
      <c r="AB14" s="42" t="e">
        <f>IF($V14&lt;&gt;"",Calc!AI7,"")</f>
        <v>#DIV/0!</v>
      </c>
      <c r="AC14" s="42" t="e">
        <f>IF($V14&lt;&gt;"",Calc!AJ7,"")</f>
        <v>#DIV/0!</v>
      </c>
      <c r="AD14" s="42" t="e">
        <f>IF($V14&lt;&gt;"",Calc!AK7,"")</f>
        <v>#DIV/0!</v>
      </c>
      <c r="AE14" s="47"/>
      <c r="AG14" s="52" t="e">
        <f>IF(Calc!AH28=0,"",IF(BSInches,TEXT(Calc!AH28/25.4,"0.00"),TEXT(Calc!AH28,"0.0")))</f>
        <v>#VALUE!</v>
      </c>
      <c r="AH14" s="42" t="e">
        <f>IF(AG14&lt;&gt;"",Calc!AI28,"")</f>
        <v>#VALUE!</v>
      </c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</row>
    <row r="15" spans="2:48" ht="12.75">
      <c r="B15" s="38" t="s">
        <v>142</v>
      </c>
      <c r="F15" s="38" t="s">
        <v>144</v>
      </c>
      <c r="V15" s="54" t="e">
        <f>IF(Calc!X8&lt;=Index,Calc!X8,"")</f>
        <v>#DIV/0!</v>
      </c>
      <c r="W15" s="45" t="e">
        <f>IF($V15&lt;&gt;"",Calc!Y8,"")</f>
        <v>#DIV/0!</v>
      </c>
      <c r="X15" s="42" t="e">
        <f>IF($V15&lt;&gt;"",Calc!AF8,"")</f>
        <v>#DIV/0!</v>
      </c>
      <c r="Y15" s="42" t="e">
        <f>IF($V15&lt;&gt;"",Calc!AG8,"")</f>
        <v>#DIV/0!</v>
      </c>
      <c r="Z15" s="42" t="e">
        <f>IF($V15&lt;&gt;"",IF(BSInches,Calc!AD8/25.4,Calc!AD8),"")</f>
        <v>#DIV/0!</v>
      </c>
      <c r="AA15" s="42" t="e">
        <f>IF($V15&lt;&gt;"",Calc!AH8,"")</f>
        <v>#DIV/0!</v>
      </c>
      <c r="AB15" s="42" t="e">
        <f>IF($V15&lt;&gt;"",Calc!AI8,"")</f>
        <v>#DIV/0!</v>
      </c>
      <c r="AC15" s="42" t="e">
        <f>IF($V15&lt;&gt;"",Calc!AJ8,"")</f>
        <v>#DIV/0!</v>
      </c>
      <c r="AD15" s="42" t="e">
        <f>IF($V15&lt;&gt;"",Calc!AK8,"")</f>
        <v>#DIV/0!</v>
      </c>
      <c r="AE15" s="47"/>
      <c r="AG15" s="52" t="e">
        <f>IF(Calc!AH29=0,"",IF(BSInches,TEXT(Calc!AH29/25.4,"0.00"),TEXT(Calc!AH29,"0.0")))</f>
        <v>#DIV/0!</v>
      </c>
      <c r="AH15" s="42" t="e">
        <f>IF(AG15&lt;&gt;"",Calc!AI29,"")</f>
        <v>#DIV/0!</v>
      </c>
      <c r="AI15" s="42" t="e">
        <f>IF(AH15&lt;&gt;"",Calc!AJ29,"")</f>
        <v>#DIV/0!</v>
      </c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</row>
    <row r="16" spans="2:48" ht="12.75">
      <c r="B16" s="38" t="s">
        <v>143</v>
      </c>
      <c r="C16" s="55" t="e">
        <f>IF(BSInches,TEXT(MaxDia/25.4,"0.00"),TEXT(MaxDia,"0.0"))</f>
        <v>#DIV/0!</v>
      </c>
      <c r="D16" s="44" t="str">
        <f>IF(BSInches,"in","mm")</f>
        <v>mm</v>
      </c>
      <c r="F16" s="38" t="s">
        <v>145</v>
      </c>
      <c r="G16" s="55" t="str">
        <f>IF(BSInches,TEXT(Calc!N30/25.4,"0.00"),TEXT(Calc!N30,"0.0"))</f>
        <v>0.0</v>
      </c>
      <c r="H16" s="44" t="str">
        <f>IF(BSInches,"in","mm")</f>
        <v>mm</v>
      </c>
      <c r="V16" s="54" t="e">
        <f>IF(Calc!X9&lt;=Index,Calc!X9,"")</f>
        <v>#DIV/0!</v>
      </c>
      <c r="W16" s="45" t="e">
        <f>IF($V16&lt;&gt;"",Calc!Y9,"")</f>
        <v>#DIV/0!</v>
      </c>
      <c r="X16" s="42" t="e">
        <f>IF($V16&lt;&gt;"",Calc!AF9,"")</f>
        <v>#DIV/0!</v>
      </c>
      <c r="Y16" s="42" t="e">
        <f>IF($V16&lt;&gt;"",Calc!AG9,"")</f>
        <v>#DIV/0!</v>
      </c>
      <c r="Z16" s="42" t="e">
        <f>IF($V16&lt;&gt;"",IF(BSInches,Calc!AD9/25.4,Calc!AD9),"")</f>
        <v>#DIV/0!</v>
      </c>
      <c r="AA16" s="42" t="e">
        <f>IF($V16&lt;&gt;"",Calc!AH9,"")</f>
        <v>#DIV/0!</v>
      </c>
      <c r="AB16" s="42" t="e">
        <f>IF($V16&lt;&gt;"",Calc!AI9,"")</f>
        <v>#DIV/0!</v>
      </c>
      <c r="AC16" s="42" t="e">
        <f>IF($V16&lt;&gt;"",Calc!AJ9,"")</f>
        <v>#DIV/0!</v>
      </c>
      <c r="AD16" s="42" t="e">
        <f>IF($V16&lt;&gt;"",Calc!AK9,"")</f>
        <v>#DIV/0!</v>
      </c>
      <c r="AE16" s="47"/>
      <c r="AG16" s="52" t="e">
        <f>IF(Calc!AH30=0,"",IF(BSInches,TEXT(Calc!AH30/25.4,"0.00"),TEXT(Calc!AH30,"0.0")))</f>
        <v>#DIV/0!</v>
      </c>
      <c r="AH16" s="42" t="e">
        <f>IF(AG16&lt;&gt;"",Calc!AI30,"")</f>
        <v>#DIV/0!</v>
      </c>
      <c r="AI16" s="42" t="e">
        <f>IF(AH16&lt;&gt;"",Calc!AJ30,"")</f>
        <v>#DIV/0!</v>
      </c>
      <c r="AJ16" s="42" t="e">
        <f>IF(AI16&lt;&gt;"",Calc!AK30,"")</f>
        <v>#DIV/0!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</row>
    <row r="17" spans="22:48" ht="12.75">
      <c r="V17" s="54" t="e">
        <f>IF(Calc!X10&lt;=Index,Calc!X10,"")</f>
        <v>#DIV/0!</v>
      </c>
      <c r="W17" s="45" t="e">
        <f>IF($V17&lt;&gt;"",Calc!Y10,"")</f>
        <v>#DIV/0!</v>
      </c>
      <c r="X17" s="42" t="e">
        <f>IF($V17&lt;&gt;"",Calc!AF10,"")</f>
        <v>#DIV/0!</v>
      </c>
      <c r="Y17" s="42" t="e">
        <f>IF($V17&lt;&gt;"",Calc!AG10,"")</f>
        <v>#DIV/0!</v>
      </c>
      <c r="Z17" s="42" t="e">
        <f>IF($V17&lt;&gt;"",IF(BSInches,Calc!AD10/25.4,Calc!AD10),"")</f>
        <v>#DIV/0!</v>
      </c>
      <c r="AA17" s="42" t="e">
        <f>IF($V17&lt;&gt;"",Calc!AH10,"")</f>
        <v>#DIV/0!</v>
      </c>
      <c r="AB17" s="42" t="e">
        <f>IF($V17&lt;&gt;"",Calc!AI10,"")</f>
        <v>#DIV/0!</v>
      </c>
      <c r="AC17" s="42" t="e">
        <f>IF($V17&lt;&gt;"",Calc!AJ10,"")</f>
        <v>#DIV/0!</v>
      </c>
      <c r="AD17" s="42" t="e">
        <f>IF($V17&lt;&gt;"",Calc!AK10,"")</f>
        <v>#DIV/0!</v>
      </c>
      <c r="AE17" s="47"/>
      <c r="AG17" s="52" t="e">
        <f>IF(Calc!AH31=0,"",IF(BSInches,TEXT(Calc!AH31/25.4,"0.00"),TEXT(Calc!AH31,"0.0")))</f>
        <v>#DIV/0!</v>
      </c>
      <c r="AH17" s="42" t="e">
        <f>IF(AG17&lt;&gt;"",Calc!AI31,"")</f>
        <v>#DIV/0!</v>
      </c>
      <c r="AI17" s="42" t="e">
        <f>IF(AH17&lt;&gt;"",Calc!AJ31,"")</f>
        <v>#DIV/0!</v>
      </c>
      <c r="AJ17" s="42" t="e">
        <f>IF(AI17&lt;&gt;"",Calc!AK31,"")</f>
        <v>#DIV/0!</v>
      </c>
      <c r="AK17" s="42" t="e">
        <f>IF(AJ17&lt;&gt;"",Calc!AL31,"")</f>
        <v>#DIV/0!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</row>
    <row r="18" spans="2:48" ht="12.75">
      <c r="B18" s="38" t="s">
        <v>146</v>
      </c>
      <c r="F18" s="38" t="s">
        <v>147</v>
      </c>
      <c r="V18" s="54" t="e">
        <f>IF(Calc!X11&lt;=Index,Calc!X11,"")</f>
        <v>#DIV/0!</v>
      </c>
      <c r="W18" s="45" t="e">
        <f>IF($V18&lt;&gt;"",Calc!Y11,"")</f>
        <v>#DIV/0!</v>
      </c>
      <c r="X18" s="42" t="e">
        <f>IF($V18&lt;&gt;"",Calc!AF11,"")</f>
        <v>#DIV/0!</v>
      </c>
      <c r="Y18" s="42" t="e">
        <f>IF($V18&lt;&gt;"",Calc!AG11,"")</f>
        <v>#DIV/0!</v>
      </c>
      <c r="Z18" s="42" t="e">
        <f>IF($V18&lt;&gt;"",IF(BSInches,Calc!AD11/25.4,Calc!AD11),"")</f>
        <v>#DIV/0!</v>
      </c>
      <c r="AA18" s="42" t="e">
        <f>IF($V18&lt;&gt;"",Calc!AH11,"")</f>
        <v>#DIV/0!</v>
      </c>
      <c r="AB18" s="42" t="e">
        <f>IF($V18&lt;&gt;"",Calc!AI11,"")</f>
        <v>#DIV/0!</v>
      </c>
      <c r="AC18" s="42" t="e">
        <f>IF($V18&lt;&gt;"",Calc!AJ11,"")</f>
        <v>#DIV/0!</v>
      </c>
      <c r="AD18" s="42" t="e">
        <f>IF($V18&lt;&gt;"",Calc!AK11,"")</f>
        <v>#DIV/0!</v>
      </c>
      <c r="AE18" s="47"/>
      <c r="AG18" s="52" t="e">
        <f>IF(Calc!AH32=0,"",IF(BSInches,TEXT(Calc!AH32/25.4,"0.00"),TEXT(Calc!AH32,"0.0")))</f>
        <v>#DIV/0!</v>
      </c>
      <c r="AH18" s="42" t="e">
        <f>IF(AG18&lt;&gt;"",Calc!AI32,"")</f>
        <v>#DIV/0!</v>
      </c>
      <c r="AI18" s="42" t="e">
        <f>IF(AH18&lt;&gt;"",Calc!AJ32,"")</f>
        <v>#DIV/0!</v>
      </c>
      <c r="AJ18" s="42" t="e">
        <f>IF(AI18&lt;&gt;"",Calc!AK32,"")</f>
        <v>#DIV/0!</v>
      </c>
      <c r="AK18" s="42" t="e">
        <f>IF(AJ18&lt;&gt;"",Calc!AL32,"")</f>
        <v>#DIV/0!</v>
      </c>
      <c r="AL18" s="42" t="e">
        <f>IF(AK18&lt;&gt;"",Calc!AM32,"")</f>
        <v>#DIV/0!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</row>
    <row r="19" spans="2:48" ht="12.75">
      <c r="B19" s="56" t="e">
        <f>Calc!AY7/100</f>
        <v>#DIV/0!</v>
      </c>
      <c r="C19" s="57" t="str">
        <f>G16</f>
        <v>0.0</v>
      </c>
      <c r="D19" s="44" t="str">
        <f>H16</f>
        <v>mm</v>
      </c>
      <c r="F19" s="56" t="e">
        <f>Calc!AY11/100</f>
        <v>#DIV/0!</v>
      </c>
      <c r="G19" s="57" t="str">
        <f>G16</f>
        <v>0.0</v>
      </c>
      <c r="H19" s="44" t="str">
        <f>$H$16</f>
        <v>mm</v>
      </c>
      <c r="V19" s="54" t="e">
        <f>IF(Calc!X12&lt;=Index,Calc!X12,"")</f>
        <v>#DIV/0!</v>
      </c>
      <c r="W19" s="45" t="e">
        <f>IF($V19&lt;&gt;"",Calc!Y12,"")</f>
        <v>#DIV/0!</v>
      </c>
      <c r="X19" s="42" t="e">
        <f>IF($V19&lt;&gt;"",Calc!AF12,"")</f>
        <v>#DIV/0!</v>
      </c>
      <c r="Y19" s="42" t="e">
        <f>IF($V19&lt;&gt;"",Calc!AG12,"")</f>
        <v>#DIV/0!</v>
      </c>
      <c r="Z19" s="42" t="e">
        <f>IF($V19&lt;&gt;"",IF(BSInches,Calc!AD12/25.4,Calc!AD12),"")</f>
        <v>#DIV/0!</v>
      </c>
      <c r="AA19" s="42" t="e">
        <f>IF($V19&lt;&gt;"",Calc!AH12,"")</f>
        <v>#DIV/0!</v>
      </c>
      <c r="AB19" s="42" t="e">
        <f>IF($V19&lt;&gt;"",Calc!AI12,"")</f>
        <v>#DIV/0!</v>
      </c>
      <c r="AC19" s="42" t="e">
        <f>IF($V19&lt;&gt;"",Calc!AJ12,"")</f>
        <v>#DIV/0!</v>
      </c>
      <c r="AD19" s="42" t="e">
        <f>IF($V19&lt;&gt;"",Calc!AK12,"")</f>
        <v>#DIV/0!</v>
      </c>
      <c r="AE19" s="47"/>
      <c r="AG19" s="52" t="e">
        <f>IF(Calc!AH33=0,"",IF(BSInches,TEXT(Calc!AH33/25.4,"0.00"),TEXT(Calc!AH33,"0.0")))</f>
        <v>#DIV/0!</v>
      </c>
      <c r="AH19" s="42" t="e">
        <f>IF(AG19&lt;&gt;"",Calc!AI33,"")</f>
        <v>#DIV/0!</v>
      </c>
      <c r="AI19" s="42" t="e">
        <f>IF(AH19&lt;&gt;"",Calc!AJ33,"")</f>
        <v>#DIV/0!</v>
      </c>
      <c r="AJ19" s="42" t="e">
        <f>IF(AI19&lt;&gt;"",Calc!AK33,"")</f>
        <v>#DIV/0!</v>
      </c>
      <c r="AK19" s="42" t="e">
        <f>IF(AJ19&lt;&gt;"",Calc!AL33,"")</f>
        <v>#DIV/0!</v>
      </c>
      <c r="AL19" s="42" t="e">
        <f>IF(AK19&lt;&gt;"",Calc!AM33,"")</f>
        <v>#DIV/0!</v>
      </c>
      <c r="AM19" s="42" t="e">
        <f>IF(AL19&lt;&gt;"",Calc!AN33,"")</f>
        <v>#DIV/0!</v>
      </c>
      <c r="AN19" s="42"/>
      <c r="AO19" s="42"/>
      <c r="AP19" s="42"/>
      <c r="AQ19" s="42"/>
      <c r="AR19" s="42"/>
      <c r="AS19" s="42"/>
      <c r="AT19" s="42"/>
      <c r="AU19" s="42"/>
      <c r="AV19" s="42"/>
    </row>
    <row r="20" spans="2:48" ht="12.75">
      <c r="B20" s="56" t="e">
        <f>Calc!AY8/100</f>
        <v>#DIV/0!</v>
      </c>
      <c r="C20" s="57" t="e">
        <f>IF(BSInches,TEXT(Calc!AX8/25.4,"0.00"),TEXT(Calc!AX8,"0.0"))</f>
        <v>#VALUE!</v>
      </c>
      <c r="D20" s="44" t="str">
        <f>D19</f>
        <v>mm</v>
      </c>
      <c r="F20" s="56" t="e">
        <f>Calc!AY12/100</f>
        <v>#VALUE!</v>
      </c>
      <c r="G20" s="57" t="e">
        <f>IF(BSInches,TEXT(Calc!AX12/25.4,"0.00"),TEXT(Calc!AX12,"0.0"))</f>
        <v>#VALUE!</v>
      </c>
      <c r="H20" s="44" t="str">
        <f>$H$16</f>
        <v>mm</v>
      </c>
      <c r="V20" s="54" t="e">
        <f>IF(Calc!X13&lt;=Index,Calc!X13,"")</f>
        <v>#DIV/0!</v>
      </c>
      <c r="W20" s="45" t="e">
        <f>IF($V20&lt;&gt;"",Calc!Y13,"")</f>
        <v>#DIV/0!</v>
      </c>
      <c r="X20" s="42" t="e">
        <f>IF($V20&lt;&gt;"",Calc!AF13,"")</f>
        <v>#DIV/0!</v>
      </c>
      <c r="Y20" s="42" t="e">
        <f>IF($V20&lt;&gt;"",Calc!AG13,"")</f>
        <v>#DIV/0!</v>
      </c>
      <c r="Z20" s="42" t="e">
        <f>IF($V20&lt;&gt;"",IF(BSInches,Calc!AD13/25.4,Calc!AD13),"")</f>
        <v>#DIV/0!</v>
      </c>
      <c r="AA20" s="42" t="e">
        <f>IF($V20&lt;&gt;"",Calc!AH13,"")</f>
        <v>#DIV/0!</v>
      </c>
      <c r="AB20" s="42" t="e">
        <f>IF($V20&lt;&gt;"",Calc!AI13,"")</f>
        <v>#DIV/0!</v>
      </c>
      <c r="AC20" s="42" t="e">
        <f>IF($V20&lt;&gt;"",Calc!AJ13,"")</f>
        <v>#DIV/0!</v>
      </c>
      <c r="AD20" s="42" t="e">
        <f>IF($V20&lt;&gt;"",Calc!AK13,"")</f>
        <v>#DIV/0!</v>
      </c>
      <c r="AE20" s="47"/>
      <c r="AG20" s="52" t="e">
        <f>IF(Calc!AH34=0,"",IF(BSInches,TEXT(Calc!AH34/25.4,"0.00"),TEXT(Calc!AH34,"0.0")))</f>
        <v>#DIV/0!</v>
      </c>
      <c r="AH20" s="42" t="e">
        <f>IF(AG20&lt;&gt;"",Calc!AI34,"")</f>
        <v>#DIV/0!</v>
      </c>
      <c r="AI20" s="42" t="e">
        <f>IF(AH20&lt;&gt;"",Calc!AJ34,"")</f>
        <v>#DIV/0!</v>
      </c>
      <c r="AJ20" s="42" t="e">
        <f>IF(AI20&lt;&gt;"",Calc!AK34,"")</f>
        <v>#DIV/0!</v>
      </c>
      <c r="AK20" s="42" t="e">
        <f>IF(AJ20&lt;&gt;"",Calc!AL34,"")</f>
        <v>#DIV/0!</v>
      </c>
      <c r="AL20" s="42" t="e">
        <f>IF(AK20&lt;&gt;"",Calc!AM34,"")</f>
        <v>#DIV/0!</v>
      </c>
      <c r="AM20" s="42" t="e">
        <f>IF(AL20&lt;&gt;"",Calc!AN34,"")</f>
        <v>#DIV/0!</v>
      </c>
      <c r="AN20" s="42" t="e">
        <f>IF(AM20&lt;&gt;"",Calc!AO34,"")</f>
        <v>#DIV/0!</v>
      </c>
      <c r="AO20" s="42"/>
      <c r="AP20" s="42"/>
      <c r="AQ20" s="42"/>
      <c r="AR20" s="42"/>
      <c r="AS20" s="42"/>
      <c r="AT20" s="42"/>
      <c r="AU20" s="42"/>
      <c r="AV20" s="42"/>
    </row>
    <row r="21" spans="6:48" ht="12.75">
      <c r="F21" s="56" t="e">
        <f>Calc!AY13/100</f>
        <v>#VALUE!</v>
      </c>
      <c r="G21" s="57" t="e">
        <f>IF(BSInches,TEXT(Calc!AX13/25.4,"0.00"),TEXT(Calc!AX13,"0.0"))</f>
        <v>#VALUE!</v>
      </c>
      <c r="H21" s="44" t="str">
        <f>$H$16</f>
        <v>mm</v>
      </c>
      <c r="V21" s="54" t="e">
        <f>IF(Calc!X14&lt;=Index,Calc!X14,"")</f>
        <v>#DIV/0!</v>
      </c>
      <c r="W21" s="45" t="e">
        <f>IF($V21&lt;&gt;"",Calc!Y14,"")</f>
        <v>#DIV/0!</v>
      </c>
      <c r="X21" s="42" t="e">
        <f>IF($V21&lt;&gt;"",Calc!AF14,"")</f>
        <v>#DIV/0!</v>
      </c>
      <c r="Y21" s="42" t="e">
        <f>IF($V21&lt;&gt;"",Calc!AG14,"")</f>
        <v>#DIV/0!</v>
      </c>
      <c r="Z21" s="42" t="e">
        <f>IF($V21&lt;&gt;"",IF(BSInches,Calc!AD14/25.4,Calc!AD14),"")</f>
        <v>#DIV/0!</v>
      </c>
      <c r="AA21" s="42" t="e">
        <f>IF($V21&lt;&gt;"",Calc!AH14,"")</f>
        <v>#DIV/0!</v>
      </c>
      <c r="AB21" s="42" t="e">
        <f>IF($V21&lt;&gt;"",Calc!AI14,"")</f>
        <v>#DIV/0!</v>
      </c>
      <c r="AC21" s="42" t="e">
        <f>IF($V21&lt;&gt;"",Calc!AJ14,"")</f>
        <v>#DIV/0!</v>
      </c>
      <c r="AD21" s="42" t="e">
        <f>IF($V21&lt;&gt;"",Calc!AK14,"")</f>
        <v>#DIV/0!</v>
      </c>
      <c r="AE21" s="47"/>
      <c r="AG21" s="52" t="e">
        <f>IF(Calc!AH35=0,"",IF(BSInches,TEXT(Calc!AH35/25.4,"0.00"),TEXT(Calc!AH35,"0.0")))</f>
        <v>#DIV/0!</v>
      </c>
      <c r="AH21" s="42" t="e">
        <f>IF(AG21&lt;&gt;"",Calc!AI35,"")</f>
        <v>#DIV/0!</v>
      </c>
      <c r="AI21" s="42" t="e">
        <f>IF(AH21&lt;&gt;"",Calc!AJ35,"")</f>
        <v>#DIV/0!</v>
      </c>
      <c r="AJ21" s="42" t="e">
        <f>IF(AI21&lt;&gt;"",Calc!AK35,"")</f>
        <v>#DIV/0!</v>
      </c>
      <c r="AK21" s="42" t="e">
        <f>IF(AJ21&lt;&gt;"",Calc!AL35,"")</f>
        <v>#DIV/0!</v>
      </c>
      <c r="AL21" s="42" t="e">
        <f>IF(AK21&lt;&gt;"",Calc!AM35,"")</f>
        <v>#DIV/0!</v>
      </c>
      <c r="AM21" s="42" t="e">
        <f>IF(AL21&lt;&gt;"",Calc!AN35,"")</f>
        <v>#DIV/0!</v>
      </c>
      <c r="AN21" s="42" t="e">
        <f>IF(AM21&lt;&gt;"",Calc!AO35,"")</f>
        <v>#DIV/0!</v>
      </c>
      <c r="AO21" s="42" t="e">
        <f>IF(AN21&lt;&gt;"",Calc!AP35,"")</f>
        <v>#DIV/0!</v>
      </c>
      <c r="AP21" s="42"/>
      <c r="AQ21" s="42"/>
      <c r="AR21" s="42"/>
      <c r="AS21" s="42"/>
      <c r="AT21" s="42"/>
      <c r="AU21" s="42"/>
      <c r="AV21" s="42"/>
    </row>
    <row r="22" spans="22:48" ht="12.75">
      <c r="V22" s="54" t="e">
        <f>IF(Calc!X15&lt;=Index,Calc!X15,"")</f>
        <v>#DIV/0!</v>
      </c>
      <c r="W22" s="45" t="e">
        <f>IF($V22&lt;&gt;"",Calc!Y15,"")</f>
        <v>#DIV/0!</v>
      </c>
      <c r="X22" s="42" t="e">
        <f>IF($V22&lt;&gt;"",Calc!AF15,"")</f>
        <v>#DIV/0!</v>
      </c>
      <c r="Y22" s="42" t="e">
        <f>IF($V22&lt;&gt;"",Calc!AG15,"")</f>
        <v>#DIV/0!</v>
      </c>
      <c r="Z22" s="42" t="e">
        <f>IF($V22&lt;&gt;"",IF(BSInches,Calc!AD15/25.4,Calc!AD15),"")</f>
        <v>#DIV/0!</v>
      </c>
      <c r="AA22" s="42" t="e">
        <f>IF($V22&lt;&gt;"",Calc!AH15,"")</f>
        <v>#DIV/0!</v>
      </c>
      <c r="AB22" s="42" t="e">
        <f>IF($V22&lt;&gt;"",Calc!AI15,"")</f>
        <v>#DIV/0!</v>
      </c>
      <c r="AC22" s="42" t="e">
        <f>IF($V22&lt;&gt;"",Calc!AJ15,"")</f>
        <v>#DIV/0!</v>
      </c>
      <c r="AD22" s="42" t="e">
        <f>IF($V22&lt;&gt;"",Calc!AK15,"")</f>
        <v>#DIV/0!</v>
      </c>
      <c r="AE22" s="47"/>
      <c r="AG22" s="52" t="e">
        <f>IF(Calc!AH36=0,"",IF(BSInches,TEXT(Calc!AH36/25.4,"0.00"),TEXT(Calc!AH36,"0.0")))</f>
        <v>#DIV/0!</v>
      </c>
      <c r="AH22" s="42" t="e">
        <f>IF(AG22&lt;&gt;"",Calc!AI36,"")</f>
        <v>#DIV/0!</v>
      </c>
      <c r="AI22" s="42" t="e">
        <f>IF(AH22&lt;&gt;"",Calc!AJ36,"")</f>
        <v>#DIV/0!</v>
      </c>
      <c r="AJ22" s="42" t="e">
        <f>IF(AI22&lt;&gt;"",Calc!AK36,"")</f>
        <v>#DIV/0!</v>
      </c>
      <c r="AK22" s="42" t="e">
        <f>IF(AJ22&lt;&gt;"",Calc!AL36,"")</f>
        <v>#DIV/0!</v>
      </c>
      <c r="AL22" s="42" t="e">
        <f>IF(AK22&lt;&gt;"",Calc!AM36,"")</f>
        <v>#DIV/0!</v>
      </c>
      <c r="AM22" s="42" t="e">
        <f>IF(AL22&lt;&gt;"",Calc!AN36,"")</f>
        <v>#DIV/0!</v>
      </c>
      <c r="AN22" s="42" t="e">
        <f>IF(AM22&lt;&gt;"",Calc!AO36,"")</f>
        <v>#DIV/0!</v>
      </c>
      <c r="AO22" s="42" t="e">
        <f>IF(AN22&lt;&gt;"",Calc!AP36,"")</f>
        <v>#DIV/0!</v>
      </c>
      <c r="AP22" s="42" t="e">
        <f>IF(AO22&lt;&gt;"",Calc!AQ36,"")</f>
        <v>#DIV/0!</v>
      </c>
      <c r="AQ22" s="42"/>
      <c r="AR22" s="42"/>
      <c r="AS22" s="42"/>
      <c r="AT22" s="42"/>
      <c r="AU22" s="42"/>
      <c r="AV22" s="42"/>
    </row>
    <row r="23" spans="2:48" ht="12.75">
      <c r="B23" s="38"/>
      <c r="C23" s="63" t="s">
        <v>155</v>
      </c>
      <c r="D23" s="64"/>
      <c r="F23" s="38"/>
      <c r="V23" s="54" t="e">
        <f>IF(Calc!X16&lt;=Index,Calc!X16,"")</f>
        <v>#DIV/0!</v>
      </c>
      <c r="W23" s="45" t="e">
        <f>IF($V23&lt;&gt;"",Calc!Y16,"")</f>
        <v>#DIV/0!</v>
      </c>
      <c r="X23" s="42" t="e">
        <f>IF($V23&lt;&gt;"",Calc!AF16,"")</f>
        <v>#DIV/0!</v>
      </c>
      <c r="Y23" s="42" t="e">
        <f>IF($V23&lt;&gt;"",Calc!AG16,"")</f>
        <v>#DIV/0!</v>
      </c>
      <c r="Z23" s="42" t="e">
        <f>IF($V23&lt;&gt;"",IF(BSInches,Calc!AD16/25.4,Calc!AD16),"")</f>
        <v>#DIV/0!</v>
      </c>
      <c r="AA23" s="42" t="e">
        <f>IF($V23&lt;&gt;"",Calc!AH16,"")</f>
        <v>#DIV/0!</v>
      </c>
      <c r="AB23" s="42" t="e">
        <f>IF($V23&lt;&gt;"",Calc!AI16,"")</f>
        <v>#DIV/0!</v>
      </c>
      <c r="AC23" s="42" t="e">
        <f>IF($V23&lt;&gt;"",Calc!AJ16,"")</f>
        <v>#DIV/0!</v>
      </c>
      <c r="AD23" s="42" t="e">
        <f>IF($V23&lt;&gt;"",Calc!AK16,"")</f>
        <v>#DIV/0!</v>
      </c>
      <c r="AE23" s="47"/>
      <c r="AG23" s="52" t="e">
        <f>IF(Calc!AH37=0,"",IF(BSInches,TEXT(Calc!AH37/25.4,"0.00"),TEXT(Calc!AH37,"0.0")))</f>
        <v>#DIV/0!</v>
      </c>
      <c r="AH23" s="42" t="e">
        <f>IF(AG23&lt;&gt;"",Calc!AI37,"")</f>
        <v>#DIV/0!</v>
      </c>
      <c r="AI23" s="42" t="e">
        <f>IF(AH23&lt;&gt;"",Calc!AJ37,"")</f>
        <v>#DIV/0!</v>
      </c>
      <c r="AJ23" s="42" t="e">
        <f>IF(AI23&lt;&gt;"",Calc!AK37,"")</f>
        <v>#DIV/0!</v>
      </c>
      <c r="AK23" s="42" t="e">
        <f>IF(AJ23&lt;&gt;"",Calc!AL37,"")</f>
        <v>#DIV/0!</v>
      </c>
      <c r="AL23" s="42" t="e">
        <f>IF(AK23&lt;&gt;"",Calc!AM37,"")</f>
        <v>#DIV/0!</v>
      </c>
      <c r="AM23" s="42" t="e">
        <f>IF(AL23&lt;&gt;"",Calc!AN37,"")</f>
        <v>#DIV/0!</v>
      </c>
      <c r="AN23" s="42" t="e">
        <f>IF(AM23&lt;&gt;"",Calc!AO37,"")</f>
        <v>#DIV/0!</v>
      </c>
      <c r="AO23" s="42" t="e">
        <f>IF(AN23&lt;&gt;"",Calc!AP37,"")</f>
        <v>#DIV/0!</v>
      </c>
      <c r="AP23" s="42" t="e">
        <f>IF(AO23&lt;&gt;"",Calc!AQ37,"")</f>
        <v>#DIV/0!</v>
      </c>
      <c r="AQ23" s="42" t="e">
        <f>IF(AP23&lt;&gt;"",Calc!AR37,"")</f>
        <v>#DIV/0!</v>
      </c>
      <c r="AR23" s="42"/>
      <c r="AS23" s="42"/>
      <c r="AT23" s="42"/>
      <c r="AU23" s="42"/>
      <c r="AV23" s="42"/>
    </row>
    <row r="24" spans="2:48" ht="12.75">
      <c r="B24" s="38" t="s">
        <v>129</v>
      </c>
      <c r="C24" s="39">
        <f>Calc!G40</f>
        <v>5773.94677734375</v>
      </c>
      <c r="D24" s="40" t="s">
        <v>154</v>
      </c>
      <c r="V24" s="54" t="e">
        <f>IF(Calc!X17&lt;=Index,Calc!X17,"")</f>
        <v>#DIV/0!</v>
      </c>
      <c r="W24" s="45" t="e">
        <f>IF($V24&lt;&gt;"",Calc!Y17,"")</f>
        <v>#DIV/0!</v>
      </c>
      <c r="X24" s="42" t="e">
        <f>IF($V24&lt;&gt;"",Calc!AF17,"")</f>
        <v>#DIV/0!</v>
      </c>
      <c r="Y24" s="53"/>
      <c r="Z24" s="42" t="e">
        <f>IF($V24&lt;&gt;"",IF(BSInches,Calc!AD17/25.4,Calc!AD17),"")</f>
        <v>#DIV/0!</v>
      </c>
      <c r="AA24" s="42" t="e">
        <f>IF($V24&lt;&gt;"",Calc!AH17,"")</f>
        <v>#DIV/0!</v>
      </c>
      <c r="AB24" s="42" t="e">
        <f>IF($V24&lt;&gt;"",Calc!AI17,"")</f>
        <v>#DIV/0!</v>
      </c>
      <c r="AC24" s="42" t="e">
        <f>IF($V24&lt;&gt;"",Calc!AJ17,"")</f>
        <v>#DIV/0!</v>
      </c>
      <c r="AD24" s="53"/>
      <c r="AE24" s="47"/>
      <c r="AG24" s="52" t="e">
        <f>IF(Calc!AH38=0,"",IF(BSInches,TEXT(Calc!AH38/25.4,"0.00"),TEXT(Calc!AH38,"0.0")))</f>
        <v>#DIV/0!</v>
      </c>
      <c r="AH24" s="42" t="e">
        <f>IF(AG24&lt;&gt;"",Calc!AI38,"")</f>
        <v>#DIV/0!</v>
      </c>
      <c r="AI24" s="42" t="e">
        <f>IF(AH24&lt;&gt;"",Calc!AJ38,"")</f>
        <v>#DIV/0!</v>
      </c>
      <c r="AJ24" s="42" t="e">
        <f>IF(AI24&lt;&gt;"",Calc!AK38,"")</f>
        <v>#DIV/0!</v>
      </c>
      <c r="AK24" s="42" t="e">
        <f>IF(AJ24&lt;&gt;"",Calc!AL38,"")</f>
        <v>#DIV/0!</v>
      </c>
      <c r="AL24" s="42" t="e">
        <f>IF(AK24&lt;&gt;"",Calc!AM38,"")</f>
        <v>#DIV/0!</v>
      </c>
      <c r="AM24" s="42" t="e">
        <f>IF(AL24&lt;&gt;"",Calc!AN38,"")</f>
        <v>#DIV/0!</v>
      </c>
      <c r="AN24" s="42" t="e">
        <f>IF(AM24&lt;&gt;"",Calc!AO38,"")</f>
        <v>#DIV/0!</v>
      </c>
      <c r="AO24" s="42" t="e">
        <f>IF(AN24&lt;&gt;"",Calc!AP38,"")</f>
        <v>#DIV/0!</v>
      </c>
      <c r="AP24" s="42" t="e">
        <f>IF(AO24&lt;&gt;"",Calc!AQ38,"")</f>
        <v>#DIV/0!</v>
      </c>
      <c r="AQ24" s="42" t="e">
        <f>IF(AP24&lt;&gt;"",Calc!AR38,"")</f>
        <v>#DIV/0!</v>
      </c>
      <c r="AR24" s="42" t="e">
        <f>IF(AQ24&lt;&gt;"",Calc!AS38,"")</f>
        <v>#DIV/0!</v>
      </c>
      <c r="AS24" s="42"/>
      <c r="AT24" s="42"/>
      <c r="AU24" s="42"/>
      <c r="AV24" s="42"/>
    </row>
    <row r="25" spans="2:48" ht="12.75">
      <c r="B25" s="38" t="s">
        <v>150</v>
      </c>
      <c r="C25" s="39">
        <f>Calc!H40</f>
        <v>1832.7205810546875</v>
      </c>
      <c r="D25" s="40" t="s">
        <v>154</v>
      </c>
      <c r="V25" s="54" t="e">
        <f>IF(Calc!X18&lt;=Index,Calc!X18,"")</f>
        <v>#DIV/0!</v>
      </c>
      <c r="W25" s="45" t="e">
        <f>IF($V25&lt;&gt;"",Calc!Y18,"")</f>
        <v>#DIV/0!</v>
      </c>
      <c r="X25" s="42" t="e">
        <f>IF($V25&lt;&gt;"",Calc!AF18,"")</f>
        <v>#DIV/0!</v>
      </c>
      <c r="Y25" s="53"/>
      <c r="Z25" s="42" t="e">
        <f>IF($V25&lt;&gt;"",IF(BSInches,Calc!AD18/25.4,Calc!AD18),"")</f>
        <v>#DIV/0!</v>
      </c>
      <c r="AA25" s="42" t="e">
        <f>IF($V25&lt;&gt;"",Calc!AH18,"")</f>
        <v>#DIV/0!</v>
      </c>
      <c r="AB25" s="42" t="e">
        <f>IF($V25&lt;&gt;"",Calc!AI18,"")</f>
        <v>#DIV/0!</v>
      </c>
      <c r="AC25" s="42" t="e">
        <f>IF($V25&lt;&gt;"",Calc!AJ18,"")</f>
        <v>#DIV/0!</v>
      </c>
      <c r="AD25" s="53"/>
      <c r="AE25" s="47"/>
      <c r="AG25" s="52" t="e">
        <f>IF(Calc!AH39=0,"",IF(BSInches,TEXT(Calc!AH39/25.4,"0.00"),TEXT(Calc!AH39,"0.0")))</f>
        <v>#DIV/0!</v>
      </c>
      <c r="AH25" s="42" t="e">
        <f>IF(AG25&lt;&gt;"",Calc!AI39,"")</f>
        <v>#DIV/0!</v>
      </c>
      <c r="AI25" s="42" t="e">
        <f>IF(AH25&lt;&gt;"",Calc!AJ39,"")</f>
        <v>#DIV/0!</v>
      </c>
      <c r="AJ25" s="42" t="e">
        <f>IF(AI25&lt;&gt;"",Calc!AK39,"")</f>
        <v>#DIV/0!</v>
      </c>
      <c r="AK25" s="42" t="e">
        <f>IF(AJ25&lt;&gt;"",Calc!AL39,"")</f>
        <v>#DIV/0!</v>
      </c>
      <c r="AL25" s="42" t="e">
        <f>IF(AK25&lt;&gt;"",Calc!AM39,"")</f>
        <v>#DIV/0!</v>
      </c>
      <c r="AM25" s="42" t="e">
        <f>IF(AL25&lt;&gt;"",Calc!AN39,"")</f>
        <v>#DIV/0!</v>
      </c>
      <c r="AN25" s="42" t="e">
        <f>IF(AM25&lt;&gt;"",Calc!AO39,"")</f>
        <v>#DIV/0!</v>
      </c>
      <c r="AO25" s="42" t="e">
        <f>IF(AN25&lt;&gt;"",Calc!AP39,"")</f>
        <v>#DIV/0!</v>
      </c>
      <c r="AP25" s="42" t="e">
        <f>IF(AO25&lt;&gt;"",Calc!AQ39,"")</f>
        <v>#DIV/0!</v>
      </c>
      <c r="AQ25" s="42" t="e">
        <f>IF(AP25&lt;&gt;"",Calc!AR39,"")</f>
        <v>#DIV/0!</v>
      </c>
      <c r="AR25" s="42" t="e">
        <f>IF(AQ25&lt;&gt;"",Calc!AS39,"")</f>
        <v>#DIV/0!</v>
      </c>
      <c r="AS25" s="42" t="e">
        <f>IF(AR25&lt;&gt;"",Calc!AT39,"")</f>
        <v>#DIV/0!</v>
      </c>
      <c r="AT25" s="42"/>
      <c r="AU25" s="42"/>
      <c r="AV25" s="42"/>
    </row>
    <row r="26" spans="2:48" ht="12.75">
      <c r="B26" s="38" t="s">
        <v>151</v>
      </c>
      <c r="C26" s="39">
        <f>Calc!I40</f>
        <v>298.10137939453125</v>
      </c>
      <c r="D26" s="40" t="s">
        <v>154</v>
      </c>
      <c r="V26" s="54" t="e">
        <f>IF(Calc!X19&lt;=Index,Calc!X19,"")</f>
        <v>#DIV/0!</v>
      </c>
      <c r="W26" s="45" t="e">
        <f>IF($V26&lt;&gt;"",Calc!Y19,"")</f>
        <v>#DIV/0!</v>
      </c>
      <c r="X26" s="42" t="e">
        <f>IF($V26&lt;&gt;"",Calc!AF19,"")</f>
        <v>#DIV/0!</v>
      </c>
      <c r="Y26" s="53"/>
      <c r="Z26" s="42" t="e">
        <f>IF($V26&lt;&gt;"",IF(BSInches,Calc!AD19/25.4,Calc!AD19),"")</f>
        <v>#DIV/0!</v>
      </c>
      <c r="AA26" s="42" t="e">
        <f>IF($V26&lt;&gt;"",Calc!AH19,"")</f>
        <v>#DIV/0!</v>
      </c>
      <c r="AB26" s="42" t="e">
        <f>IF($V26&lt;&gt;"",Calc!AI19,"")</f>
        <v>#DIV/0!</v>
      </c>
      <c r="AC26" s="42" t="e">
        <f>IF($V26&lt;&gt;"",Calc!AJ19,"")</f>
        <v>#DIV/0!</v>
      </c>
      <c r="AD26" s="53"/>
      <c r="AE26" s="47"/>
      <c r="AG26" s="52" t="e">
        <f>IF(Calc!AH40=0,"",IF(BSInches,TEXT(Calc!AH40/25.4,"0.00"),TEXT(Calc!AH40,"0.0")))</f>
        <v>#DIV/0!</v>
      </c>
      <c r="AH26" s="42" t="e">
        <f>IF(AG26&lt;&gt;"",Calc!AI40,"")</f>
        <v>#DIV/0!</v>
      </c>
      <c r="AI26" s="42" t="e">
        <f>IF(AH26&lt;&gt;"",Calc!AJ40,"")</f>
        <v>#DIV/0!</v>
      </c>
      <c r="AJ26" s="42" t="e">
        <f>IF(AI26&lt;&gt;"",Calc!AK40,"")</f>
        <v>#DIV/0!</v>
      </c>
      <c r="AK26" s="42" t="e">
        <f>IF(AJ26&lt;&gt;"",Calc!AL40,"")</f>
        <v>#DIV/0!</v>
      </c>
      <c r="AL26" s="42" t="e">
        <f>IF(AK26&lt;&gt;"",Calc!AM40,"")</f>
        <v>#DIV/0!</v>
      </c>
      <c r="AM26" s="42" t="e">
        <f>IF(AL26&lt;&gt;"",Calc!AN40,"")</f>
        <v>#DIV/0!</v>
      </c>
      <c r="AN26" s="42" t="e">
        <f>IF(AM26&lt;&gt;"",Calc!AO40,"")</f>
        <v>#DIV/0!</v>
      </c>
      <c r="AO26" s="42" t="e">
        <f>IF(AN26&lt;&gt;"",Calc!AP40,"")</f>
        <v>#DIV/0!</v>
      </c>
      <c r="AP26" s="42" t="e">
        <f>IF(AO26&lt;&gt;"",Calc!AQ40,"")</f>
        <v>#DIV/0!</v>
      </c>
      <c r="AQ26" s="42" t="e">
        <f>IF(AP26&lt;&gt;"",Calc!AR40,"")</f>
        <v>#DIV/0!</v>
      </c>
      <c r="AR26" s="42" t="e">
        <f>IF(AQ26&lt;&gt;"",Calc!AS40,"")</f>
        <v>#DIV/0!</v>
      </c>
      <c r="AS26" s="42" t="e">
        <f>IF(AR26&lt;&gt;"",Calc!AT40,"")</f>
        <v>#DIV/0!</v>
      </c>
      <c r="AT26" s="42" t="e">
        <f>IF(AS26&lt;&gt;"",Calc!AU40,"")</f>
        <v>#DIV/0!</v>
      </c>
      <c r="AU26" s="42"/>
      <c r="AV26" s="42"/>
    </row>
    <row r="27" spans="2:48" ht="12.75">
      <c r="B27" s="38" t="s">
        <v>152</v>
      </c>
      <c r="C27" s="39">
        <f>Calc!J40</f>
        <v>4913.52197265625</v>
      </c>
      <c r="D27" s="40" t="s">
        <v>154</v>
      </c>
      <c r="V27" s="54" t="e">
        <f>IF(Calc!X20&lt;=Index,Calc!X20,"")</f>
        <v>#DIV/0!</v>
      </c>
      <c r="W27" s="45" t="e">
        <f>IF($V27&lt;&gt;"",Calc!Y20,"")</f>
        <v>#DIV/0!</v>
      </c>
      <c r="X27" s="42" t="e">
        <f>IF($V27&lt;&gt;"",Calc!AF20,"")</f>
        <v>#DIV/0!</v>
      </c>
      <c r="Y27" s="53"/>
      <c r="Z27" s="42" t="e">
        <f>IF($V27&lt;&gt;"",IF(BSInches,Calc!AD20/25.4,Calc!AD20),"")</f>
        <v>#DIV/0!</v>
      </c>
      <c r="AA27" s="42" t="e">
        <f>IF($V27&lt;&gt;"",Calc!AH20,"")</f>
        <v>#DIV/0!</v>
      </c>
      <c r="AB27" s="42" t="e">
        <f>IF($V27&lt;&gt;"",Calc!AI20,"")</f>
        <v>#DIV/0!</v>
      </c>
      <c r="AC27" s="42" t="e">
        <f>IF($V27&lt;&gt;"",Calc!AJ20,"")</f>
        <v>#DIV/0!</v>
      </c>
      <c r="AD27" s="53"/>
      <c r="AE27" s="47"/>
      <c r="AG27" s="52" t="e">
        <f>IF(Calc!AH41=0,"",IF(BSInches,TEXT(Calc!AH41/25.4,"0.00"),TEXT(Calc!AH41,"0.0")))</f>
        <v>#DIV/0!</v>
      </c>
      <c r="AH27" s="42" t="e">
        <f>IF(AG27&lt;&gt;"",Calc!AI41,"")</f>
        <v>#DIV/0!</v>
      </c>
      <c r="AI27" s="42" t="e">
        <f>IF(AH27&lt;&gt;"",Calc!AJ41,"")</f>
        <v>#DIV/0!</v>
      </c>
      <c r="AJ27" s="42" t="e">
        <f>IF(AI27&lt;&gt;"",Calc!AK41,"")</f>
        <v>#DIV/0!</v>
      </c>
      <c r="AK27" s="42" t="e">
        <f>IF(AJ27&lt;&gt;"",Calc!AL41,"")</f>
        <v>#DIV/0!</v>
      </c>
      <c r="AL27" s="42" t="e">
        <f>IF(AK27&lt;&gt;"",Calc!AM41,"")</f>
        <v>#DIV/0!</v>
      </c>
      <c r="AM27" s="42" t="e">
        <f>IF(AL27&lt;&gt;"",Calc!AN41,"")</f>
        <v>#DIV/0!</v>
      </c>
      <c r="AN27" s="42" t="e">
        <f>IF(AM27&lt;&gt;"",Calc!AO41,"")</f>
        <v>#DIV/0!</v>
      </c>
      <c r="AO27" s="42" t="e">
        <f>IF(AN27&lt;&gt;"",Calc!AP41,"")</f>
        <v>#DIV/0!</v>
      </c>
      <c r="AP27" s="42" t="e">
        <f>IF(AO27&lt;&gt;"",Calc!AQ41,"")</f>
        <v>#DIV/0!</v>
      </c>
      <c r="AQ27" s="42" t="e">
        <f>IF(AP27&lt;&gt;"",Calc!AR41,"")</f>
        <v>#DIV/0!</v>
      </c>
      <c r="AR27" s="42" t="e">
        <f>IF(AQ27&lt;&gt;"",Calc!AS41,"")</f>
        <v>#DIV/0!</v>
      </c>
      <c r="AS27" s="42" t="e">
        <f>IF(AR27&lt;&gt;"",Calc!AT41,"")</f>
        <v>#DIV/0!</v>
      </c>
      <c r="AT27" s="42" t="e">
        <f>IF(AS27&lt;&gt;"",Calc!AU41,"")</f>
        <v>#DIV/0!</v>
      </c>
      <c r="AU27" s="42" t="e">
        <f>IF(AT27&lt;&gt;"",Calc!AV41,"")</f>
        <v>#DIV/0!</v>
      </c>
      <c r="AV27" s="42"/>
    </row>
    <row r="28" spans="2:48" ht="12.75">
      <c r="B28" s="38" t="s">
        <v>153</v>
      </c>
      <c r="C28" s="39">
        <f>Calc!K40</f>
        <v>5773.94677734375</v>
      </c>
      <c r="D28" s="40" t="s">
        <v>154</v>
      </c>
      <c r="V28" s="54" t="e">
        <f>IF(Calc!X21&lt;=Index,Calc!X21,"")</f>
        <v>#DIV/0!</v>
      </c>
      <c r="W28" s="45" t="e">
        <f>IF($V28&lt;&gt;"",Calc!Y21,"")</f>
        <v>#DIV/0!</v>
      </c>
      <c r="X28" s="42" t="e">
        <f>IF($V28&lt;&gt;"",Calc!AF21,"")</f>
        <v>#DIV/0!</v>
      </c>
      <c r="Y28" s="53"/>
      <c r="Z28" s="42" t="e">
        <f>IF($V28&lt;&gt;"",IF(BSInches,Calc!AD21/25.4,Calc!AD21),"")</f>
        <v>#DIV/0!</v>
      </c>
      <c r="AA28" s="42" t="e">
        <f>IF($V28&lt;&gt;"",Calc!AH21,"")</f>
        <v>#DIV/0!</v>
      </c>
      <c r="AB28" s="42" t="e">
        <f>IF($V28&lt;&gt;"",Calc!AI21,"")</f>
        <v>#DIV/0!</v>
      </c>
      <c r="AC28" s="42" t="e">
        <f>IF($V28&lt;&gt;"",Calc!AJ21,"")</f>
        <v>#DIV/0!</v>
      </c>
      <c r="AD28" s="53"/>
      <c r="AE28" s="47"/>
      <c r="AG28" s="52" t="e">
        <f>IF(Calc!AH42=0,"",IF(BSInches,TEXT(Calc!AH42/25.4,"0.00"),TEXT(Calc!AH42,"0.0")))</f>
        <v>#DIV/0!</v>
      </c>
      <c r="AH28" s="42" t="e">
        <f>IF(AG28&lt;&gt;"",Calc!AI42,"")</f>
        <v>#DIV/0!</v>
      </c>
      <c r="AI28" s="42" t="e">
        <f>IF(AH28&lt;&gt;"",Calc!AJ42,"")</f>
        <v>#DIV/0!</v>
      </c>
      <c r="AJ28" s="42" t="e">
        <f>IF(AI28&lt;&gt;"",Calc!AK42,"")</f>
        <v>#DIV/0!</v>
      </c>
      <c r="AK28" s="42" t="e">
        <f>IF(AJ28&lt;&gt;"",Calc!AL42,"")</f>
        <v>#DIV/0!</v>
      </c>
      <c r="AL28" s="42" t="e">
        <f>IF(AK28&lt;&gt;"",Calc!AM42,"")</f>
        <v>#DIV/0!</v>
      </c>
      <c r="AM28" s="42" t="e">
        <f>IF(AL28&lt;&gt;"",Calc!AN42,"")</f>
        <v>#DIV/0!</v>
      </c>
      <c r="AN28" s="42" t="e">
        <f>IF(AM28&lt;&gt;"",Calc!AO42,"")</f>
        <v>#DIV/0!</v>
      </c>
      <c r="AO28" s="42" t="e">
        <f>IF(AN28&lt;&gt;"",Calc!AP42,"")</f>
        <v>#DIV/0!</v>
      </c>
      <c r="AP28" s="42" t="e">
        <f>IF(AO28&lt;&gt;"",Calc!AQ42,"")</f>
        <v>#DIV/0!</v>
      </c>
      <c r="AQ28" s="42" t="e">
        <f>IF(AP28&lt;&gt;"",Calc!AR42,"")</f>
        <v>#DIV/0!</v>
      </c>
      <c r="AR28" s="42" t="e">
        <f>IF(AQ28&lt;&gt;"",Calc!AS42,"")</f>
        <v>#DIV/0!</v>
      </c>
      <c r="AS28" s="42" t="e">
        <f>IF(AR28&lt;&gt;"",Calc!AT42,"")</f>
        <v>#DIV/0!</v>
      </c>
      <c r="AT28" s="42" t="e">
        <f>IF(AS28&lt;&gt;"",Calc!AU42,"")</f>
        <v>#DIV/0!</v>
      </c>
      <c r="AU28" s="42" t="e">
        <f>IF(AT28&lt;&gt;"",Calc!AV42,"")</f>
        <v>#DIV/0!</v>
      </c>
      <c r="AV28" s="42" t="e">
        <f>IF(AU28&lt;&gt;"",Calc!AW42,"")</f>
        <v>#DIV/0!</v>
      </c>
    </row>
    <row r="29" ht="12.75">
      <c r="AE29" s="47"/>
    </row>
    <row r="30" spans="3:31" ht="12.75">
      <c r="C30" s="63" t="s">
        <v>156</v>
      </c>
      <c r="D30" s="64"/>
      <c r="V30" s="48"/>
      <c r="W30" s="48" t="s">
        <v>68</v>
      </c>
      <c r="X30" s="48" t="s">
        <v>98</v>
      </c>
      <c r="Y30" s="48" t="s">
        <v>98</v>
      </c>
      <c r="Z30" s="48" t="s">
        <v>170</v>
      </c>
      <c r="AA30" s="48" t="s">
        <v>171</v>
      </c>
      <c r="AB30" s="48" t="s">
        <v>104</v>
      </c>
      <c r="AE30" s="47"/>
    </row>
    <row r="31" spans="2:28" ht="12.75">
      <c r="B31" s="38" t="s">
        <v>129</v>
      </c>
      <c r="C31" s="39">
        <f>Calc!G34</f>
        <v>282.5664367675781</v>
      </c>
      <c r="D31" s="40" t="s">
        <v>154</v>
      </c>
      <c r="V31" s="49" t="s">
        <v>160</v>
      </c>
      <c r="W31" s="49" t="str">
        <f>"Size "&amp;IF(BSInches,"(in)","(mm")</f>
        <v>Size (mm</v>
      </c>
      <c r="X31" s="49" t="s">
        <v>163</v>
      </c>
      <c r="Y31" s="49" t="s">
        <v>166</v>
      </c>
      <c r="Z31" s="49" t="s">
        <v>169</v>
      </c>
      <c r="AA31" s="49" t="s">
        <v>104</v>
      </c>
      <c r="AB31" s="49" t="s">
        <v>169</v>
      </c>
    </row>
    <row r="32" spans="2:28" ht="12.75">
      <c r="B32" s="38" t="s">
        <v>150</v>
      </c>
      <c r="C32" s="39">
        <f>Calc!H34</f>
        <v>178.6744842529297</v>
      </c>
      <c r="D32" s="40" t="s">
        <v>154</v>
      </c>
      <c r="V32" s="54" t="e">
        <f>IF(Calc!X7&lt;=Index,Calc!X7,"")</f>
        <v>#DIV/0!</v>
      </c>
      <c r="W32" s="42" t="e">
        <f>IF($V32&lt;&gt;"",IF(BSInches,Calc!AL7/25.4,Calc!AL7),"")</f>
        <v>#DIV/0!</v>
      </c>
      <c r="X32" s="42" t="e">
        <f>IF($V32&lt;&gt;"",Calc!AM7,"")</f>
        <v>#DIV/0!</v>
      </c>
      <c r="Y32" s="42" t="e">
        <f>IF($V32&lt;&gt;"",Calc!AN7,"")</f>
        <v>#DIV/0!</v>
      </c>
      <c r="Z32" s="42" t="e">
        <f>IF($V32&lt;&gt;"",Calc!AO7,"")</f>
        <v>#DIV/0!</v>
      </c>
      <c r="AA32" s="42" t="e">
        <f>IF($V32&lt;&gt;"",Calc!AP7,"")</f>
        <v>#DIV/0!</v>
      </c>
      <c r="AB32" s="42" t="e">
        <f>IF($V32&lt;&gt;"",Calc!AQ7,"")</f>
        <v>#DIV/0!</v>
      </c>
    </row>
    <row r="33" spans="2:28" ht="12.75">
      <c r="B33" s="38" t="s">
        <v>151</v>
      </c>
      <c r="C33" s="39">
        <f>Calc!I34</f>
        <v>65.36177062988281</v>
      </c>
      <c r="D33" s="40" t="s">
        <v>154</v>
      </c>
      <c r="V33" s="54" t="e">
        <f>IF(Calc!X8&lt;=Index,Calc!X8,"")</f>
        <v>#DIV/0!</v>
      </c>
      <c r="W33" s="42" t="e">
        <f>IF($V33&lt;&gt;"",IF(BSInches,Calc!AL8/25.4,Calc!AL8),"")</f>
        <v>#DIV/0!</v>
      </c>
      <c r="X33" s="42" t="e">
        <f>IF($V33&lt;&gt;"",Calc!AM8,"")</f>
        <v>#DIV/0!</v>
      </c>
      <c r="Y33" s="42" t="e">
        <f>IF($V33&lt;&gt;"",Calc!AN8,"")</f>
        <v>#DIV/0!</v>
      </c>
      <c r="Z33" s="42" t="e">
        <f>IF($V33&lt;&gt;"",Calc!AO8,"")</f>
        <v>#DIV/0!</v>
      </c>
      <c r="AA33" s="42" t="e">
        <f>IF($V33&lt;&gt;"",Calc!AP8,"")</f>
        <v>#DIV/0!</v>
      </c>
      <c r="AB33" s="42" t="e">
        <f>IF($V33&lt;&gt;"",Calc!AQ8,"")</f>
        <v>#DIV/0!</v>
      </c>
    </row>
    <row r="34" spans="2:28" ht="12.75">
      <c r="B34" s="38" t="s">
        <v>152</v>
      </c>
      <c r="C34" s="39">
        <f>Calc!J34</f>
        <v>267.04351806640625</v>
      </c>
      <c r="D34" s="40" t="s">
        <v>154</v>
      </c>
      <c r="V34" s="54" t="e">
        <f>IF(Calc!X9&lt;=Index,Calc!X9,"")</f>
        <v>#DIV/0!</v>
      </c>
      <c r="W34" s="42" t="e">
        <f>IF($V34&lt;&gt;"",IF(BSInches,Calc!AL9/25.4,Calc!AL9),"")</f>
        <v>#DIV/0!</v>
      </c>
      <c r="X34" s="42" t="e">
        <f>IF($V34&lt;&gt;"",Calc!AM9,"")</f>
        <v>#DIV/0!</v>
      </c>
      <c r="Y34" s="42" t="e">
        <f>IF($V34&lt;&gt;"",Calc!AN9,"")</f>
        <v>#DIV/0!</v>
      </c>
      <c r="Z34" s="42" t="e">
        <f>IF($V34&lt;&gt;"",Calc!AO9,"")</f>
        <v>#DIV/0!</v>
      </c>
      <c r="AA34" s="42" t="e">
        <f>IF($V34&lt;&gt;"",Calc!AP9,"")</f>
        <v>#DIV/0!</v>
      </c>
      <c r="AB34" s="42" t="e">
        <f>IF($V34&lt;&gt;"",Calc!AQ9,"")</f>
        <v>#DIV/0!</v>
      </c>
    </row>
    <row r="35" spans="2:28" ht="12.75">
      <c r="B35" s="38" t="s">
        <v>153</v>
      </c>
      <c r="C35" s="39">
        <f>Calc!K34</f>
        <v>282.5664367675781</v>
      </c>
      <c r="D35" s="40" t="s">
        <v>154</v>
      </c>
      <c r="V35" s="54" t="e">
        <f>IF(Calc!X10&lt;=Index,Calc!X10,"")</f>
        <v>#DIV/0!</v>
      </c>
      <c r="W35" s="42" t="e">
        <f>IF($V35&lt;&gt;"",IF(BSInches,Calc!AL10/25.4,Calc!AL10),"")</f>
        <v>#DIV/0!</v>
      </c>
      <c r="X35" s="42" t="e">
        <f>IF($V35&lt;&gt;"",Calc!AM10,"")</f>
        <v>#DIV/0!</v>
      </c>
      <c r="Y35" s="42" t="e">
        <f>IF($V35&lt;&gt;"",Calc!AN10,"")</f>
        <v>#DIV/0!</v>
      </c>
      <c r="Z35" s="42" t="e">
        <f>IF($V35&lt;&gt;"",Calc!AO10,"")</f>
        <v>#DIV/0!</v>
      </c>
      <c r="AA35" s="42" t="e">
        <f>IF($V35&lt;&gt;"",Calc!AP10,"")</f>
        <v>#DIV/0!</v>
      </c>
      <c r="AB35" s="42" t="e">
        <f>IF($V35&lt;&gt;"",Calc!AQ10,"")</f>
        <v>#DIV/0!</v>
      </c>
    </row>
    <row r="36" spans="22:28" ht="12.75">
      <c r="V36" s="54" t="e">
        <f>IF(Calc!X11&lt;=Index,Calc!X11,"")</f>
        <v>#DIV/0!</v>
      </c>
      <c r="W36" s="42" t="e">
        <f>IF($V36&lt;&gt;"",IF(BSInches,Calc!AL11/25.4,Calc!AL11),"")</f>
        <v>#DIV/0!</v>
      </c>
      <c r="X36" s="42" t="e">
        <f>IF($V36&lt;&gt;"",Calc!AM11,"")</f>
        <v>#DIV/0!</v>
      </c>
      <c r="Y36" s="42" t="e">
        <f>IF($V36&lt;&gt;"",Calc!AN11,"")</f>
        <v>#DIV/0!</v>
      </c>
      <c r="Z36" s="42" t="e">
        <f>IF($V36&lt;&gt;"",Calc!AO11,"")</f>
        <v>#DIV/0!</v>
      </c>
      <c r="AA36" s="42" t="e">
        <f>IF($V36&lt;&gt;"",Calc!AP11,"")</f>
        <v>#DIV/0!</v>
      </c>
      <c r="AB36" s="42" t="e">
        <f>IF($V36&lt;&gt;"",Calc!AQ11,"")</f>
        <v>#DIV/0!</v>
      </c>
    </row>
    <row r="37" spans="2:28" ht="12.75">
      <c r="B37" s="38" t="s">
        <v>157</v>
      </c>
      <c r="C37" s="56">
        <f>CL/100</f>
        <v>0</v>
      </c>
      <c r="D37" s="44"/>
      <c r="V37" s="54" t="e">
        <f>IF(Calc!X12&lt;=Index,Calc!X12,"")</f>
        <v>#DIV/0!</v>
      </c>
      <c r="W37" s="42" t="e">
        <f>IF($V37&lt;&gt;"",IF(BSInches,Calc!AL12/25.4,Calc!AL12),"")</f>
        <v>#DIV/0!</v>
      </c>
      <c r="X37" s="42" t="e">
        <f>IF($V37&lt;&gt;"",Calc!AM12,"")</f>
        <v>#DIV/0!</v>
      </c>
      <c r="Y37" s="42" t="e">
        <f>IF($V37&lt;&gt;"",Calc!AN12,"")</f>
        <v>#DIV/0!</v>
      </c>
      <c r="Z37" s="42" t="e">
        <f>IF($V37&lt;&gt;"",Calc!AO12,"")</f>
        <v>#DIV/0!</v>
      </c>
      <c r="AA37" s="42" t="e">
        <f>IF($V37&lt;&gt;"",Calc!AP12,"")</f>
        <v>#DIV/0!</v>
      </c>
      <c r="AB37" s="42" t="e">
        <f>IF($V37&lt;&gt;"",Calc!AQ12,"")</f>
        <v>#DIV/0!</v>
      </c>
    </row>
    <row r="38" spans="22:28" ht="12.75">
      <c r="V38" s="54" t="e">
        <f>IF(Calc!X13&lt;=Index,Calc!X13,"")</f>
        <v>#DIV/0!</v>
      </c>
      <c r="W38" s="42" t="e">
        <f>IF($V38&lt;&gt;"",IF(BSInches,Calc!AL13/25.4,Calc!AL13),"")</f>
        <v>#DIV/0!</v>
      </c>
      <c r="X38" s="42" t="e">
        <f>IF($V38&lt;&gt;"",Calc!AM13,"")</f>
        <v>#DIV/0!</v>
      </c>
      <c r="Y38" s="42" t="e">
        <f>IF($V38&lt;&gt;"",Calc!AN13,"")</f>
        <v>#DIV/0!</v>
      </c>
      <c r="Z38" s="42" t="e">
        <f>IF($V38&lt;&gt;"",Calc!AO13,"")</f>
        <v>#DIV/0!</v>
      </c>
      <c r="AA38" s="42" t="e">
        <f>IF($V38&lt;&gt;"",Calc!AP13,"")</f>
        <v>#DIV/0!</v>
      </c>
      <c r="AB38" s="42" t="e">
        <f>IF($V38&lt;&gt;"",Calc!AQ13,"")</f>
        <v>#DIV/0!</v>
      </c>
    </row>
    <row r="39" spans="22:28" ht="12.75">
      <c r="V39" s="54" t="e">
        <f>IF(Calc!X14&lt;=Index,Calc!X14,"")</f>
        <v>#DIV/0!</v>
      </c>
      <c r="W39" s="42" t="e">
        <f>IF($V39&lt;&gt;"",IF(BSInches,Calc!AL14/25.4,Calc!AL14),"")</f>
        <v>#DIV/0!</v>
      </c>
      <c r="X39" s="42" t="e">
        <f>IF($V39&lt;&gt;"",Calc!AM14,"")</f>
        <v>#DIV/0!</v>
      </c>
      <c r="Y39" s="42" t="e">
        <f>IF($V39&lt;&gt;"",Calc!AN14,"")</f>
        <v>#DIV/0!</v>
      </c>
      <c r="Z39" s="42" t="e">
        <f>IF($V39&lt;&gt;"",Calc!AO14,"")</f>
        <v>#DIV/0!</v>
      </c>
      <c r="AA39" s="42" t="e">
        <f>IF($V39&lt;&gt;"",Calc!AP14,"")</f>
        <v>#DIV/0!</v>
      </c>
      <c r="AB39" s="42" t="e">
        <f>IF($V39&lt;&gt;"",Calc!AQ14,"")</f>
        <v>#DIV/0!</v>
      </c>
    </row>
    <row r="40" spans="22:28" ht="12.75">
      <c r="V40" s="54" t="e">
        <f>IF(Calc!X15&lt;=Index,Calc!X15,"")</f>
        <v>#DIV/0!</v>
      </c>
      <c r="W40" s="42" t="e">
        <f>IF($V40&lt;&gt;"",IF(BSInches,Calc!AL15/25.4,Calc!AL15),"")</f>
        <v>#DIV/0!</v>
      </c>
      <c r="X40" s="42" t="e">
        <f>IF($V40&lt;&gt;"",Calc!AM15,"")</f>
        <v>#DIV/0!</v>
      </c>
      <c r="Y40" s="42" t="e">
        <f>IF($V40&lt;&gt;"",Calc!AN15,"")</f>
        <v>#DIV/0!</v>
      </c>
      <c r="Z40" s="42" t="e">
        <f>IF($V40&lt;&gt;"",Calc!AO15,"")</f>
        <v>#DIV/0!</v>
      </c>
      <c r="AA40" s="42" t="e">
        <f>IF($V40&lt;&gt;"",Calc!AP15,"")</f>
        <v>#DIV/0!</v>
      </c>
      <c r="AB40" s="42" t="e">
        <f>IF($V40&lt;&gt;"",Calc!AQ15,"")</f>
        <v>#DIV/0!</v>
      </c>
    </row>
    <row r="41" spans="22:28" ht="12.75">
      <c r="V41" s="54" t="e">
        <f>IF(Calc!X16&lt;=Index,Calc!X16,"")</f>
        <v>#DIV/0!</v>
      </c>
      <c r="W41" s="42" t="e">
        <f>IF($V41&lt;&gt;"",IF(BSInches,Calc!AL16/25.4,Calc!AL16),"")</f>
        <v>#DIV/0!</v>
      </c>
      <c r="X41" s="42" t="e">
        <f>IF($V41&lt;&gt;"",Calc!AM16,"")</f>
        <v>#DIV/0!</v>
      </c>
      <c r="Y41" s="42" t="e">
        <f>IF($V41&lt;&gt;"",Calc!AN16,"")</f>
        <v>#DIV/0!</v>
      </c>
      <c r="Z41" s="42" t="e">
        <f>IF($V41&lt;&gt;"",Calc!AO16,"")</f>
        <v>#DIV/0!</v>
      </c>
      <c r="AA41" s="42" t="e">
        <f>IF($V41&lt;&gt;"",Calc!AP16,"")</f>
        <v>#DIV/0!</v>
      </c>
      <c r="AB41" s="42" t="e">
        <f>IF($V41&lt;&gt;"",Calc!AQ16,"")</f>
        <v>#DIV/0!</v>
      </c>
    </row>
    <row r="42" spans="22:28" ht="12.75">
      <c r="V42" s="54" t="e">
        <f>IF(Calc!X17&lt;=Index,Calc!X17,"")</f>
        <v>#DIV/0!</v>
      </c>
      <c r="W42" s="42" t="e">
        <f>IF($V42&lt;&gt;"",IF(BSInches,Calc!AL17/25.4,Calc!AL17),"")</f>
        <v>#DIV/0!</v>
      </c>
      <c r="X42" s="42" t="e">
        <f>IF($V42&lt;&gt;"",Calc!AM17,"")</f>
        <v>#DIV/0!</v>
      </c>
      <c r="Y42" s="42" t="e">
        <f>IF($V42&lt;&gt;"",Calc!AN17,"")</f>
        <v>#DIV/0!</v>
      </c>
      <c r="Z42" s="42" t="e">
        <f>IF($V42&lt;&gt;"",Calc!AO17,"")</f>
        <v>#DIV/0!</v>
      </c>
      <c r="AA42" s="42" t="e">
        <f>IF($V42&lt;&gt;"",Calc!AP17,"")</f>
        <v>#DIV/0!</v>
      </c>
      <c r="AB42" s="42" t="e">
        <f>IF($V42&lt;&gt;"",Calc!AQ17,"")</f>
        <v>#DIV/0!</v>
      </c>
    </row>
    <row r="43" spans="22:28" ht="12.75">
      <c r="V43" s="54" t="e">
        <f>IF(Calc!X18&lt;=Index,Calc!X18,"")</f>
        <v>#DIV/0!</v>
      </c>
      <c r="W43" s="42" t="e">
        <f>IF($V43&lt;&gt;"",IF(BSInches,Calc!AL18/25.4,Calc!AL18),"")</f>
        <v>#DIV/0!</v>
      </c>
      <c r="X43" s="42" t="e">
        <f>IF($V43&lt;&gt;"",Calc!AM18,"")</f>
        <v>#DIV/0!</v>
      </c>
      <c r="Y43" s="42" t="e">
        <f>IF($V43&lt;&gt;"",Calc!AN18,"")</f>
        <v>#DIV/0!</v>
      </c>
      <c r="Z43" s="42" t="e">
        <f>IF($V43&lt;&gt;"",Calc!AO18,"")</f>
        <v>#DIV/0!</v>
      </c>
      <c r="AA43" s="42" t="e">
        <f>IF($V43&lt;&gt;"",Calc!AP18,"")</f>
        <v>#DIV/0!</v>
      </c>
      <c r="AB43" s="42" t="e">
        <f>IF($V43&lt;&gt;"",Calc!AQ18,"")</f>
        <v>#DIV/0!</v>
      </c>
    </row>
    <row r="44" spans="22:28" ht="12.75">
      <c r="V44" s="54" t="e">
        <f>IF(Calc!X19&lt;=Index,Calc!X19,"")</f>
        <v>#DIV/0!</v>
      </c>
      <c r="W44" s="42" t="e">
        <f>IF($V44&lt;&gt;"",IF(BSInches,Calc!AL19/25.4,Calc!AL19),"")</f>
        <v>#DIV/0!</v>
      </c>
      <c r="X44" s="42" t="e">
        <f>IF($V44&lt;&gt;"",Calc!AM19,"")</f>
        <v>#DIV/0!</v>
      </c>
      <c r="Y44" s="42" t="e">
        <f>IF($V44&lt;&gt;"",Calc!AN19,"")</f>
        <v>#DIV/0!</v>
      </c>
      <c r="Z44" s="42" t="e">
        <f>IF($V44&lt;&gt;"",Calc!AO19,"")</f>
        <v>#DIV/0!</v>
      </c>
      <c r="AA44" s="42" t="e">
        <f>IF($V44&lt;&gt;"",Calc!AP19,"")</f>
        <v>#DIV/0!</v>
      </c>
      <c r="AB44" s="42" t="e">
        <f>IF($V44&lt;&gt;"",Calc!AQ19,"")</f>
        <v>#DIV/0!</v>
      </c>
    </row>
    <row r="45" spans="22:28" ht="12.75">
      <c r="V45" s="54" t="e">
        <f>IF(Calc!X20&lt;=Index,Calc!X20,"")</f>
        <v>#DIV/0!</v>
      </c>
      <c r="W45" s="42" t="e">
        <f>IF($V45&lt;&gt;"",IF(BSInches,Calc!AL20/25.4,Calc!AL20),"")</f>
        <v>#DIV/0!</v>
      </c>
      <c r="X45" s="42" t="e">
        <f>IF($V45&lt;&gt;"",Calc!AM20,"")</f>
        <v>#DIV/0!</v>
      </c>
      <c r="Y45" s="42" t="e">
        <f>IF($V45&lt;&gt;"",Calc!AN20,"")</f>
        <v>#DIV/0!</v>
      </c>
      <c r="Z45" s="42" t="e">
        <f>IF($V45&lt;&gt;"",Calc!AO20,"")</f>
        <v>#DIV/0!</v>
      </c>
      <c r="AA45" s="42" t="e">
        <f>IF($V45&lt;&gt;"",Calc!AP20,"")</f>
        <v>#DIV/0!</v>
      </c>
      <c r="AB45" s="42" t="e">
        <f>IF($V45&lt;&gt;"",Calc!AQ20,"")</f>
        <v>#DIV/0!</v>
      </c>
    </row>
    <row r="46" spans="22:28" ht="12.75">
      <c r="V46" s="54" t="e">
        <f>IF(Calc!X21&lt;=Index,Calc!X21,"")</f>
        <v>#DIV/0!</v>
      </c>
      <c r="W46" s="42" t="e">
        <f>IF($V46&lt;&gt;"",IF(BSInches,Calc!AL21/25.4,Calc!AL21),"")</f>
        <v>#DIV/0!</v>
      </c>
      <c r="X46" s="42" t="e">
        <f>IF($V46&lt;&gt;"",Calc!AM21,"")</f>
        <v>#DIV/0!</v>
      </c>
      <c r="Y46" s="42" t="e">
        <f>IF($V46&lt;&gt;"",Calc!AN21,"")</f>
        <v>#DIV/0!</v>
      </c>
      <c r="Z46" s="42" t="e">
        <f>IF($V46&lt;&gt;"",Calc!AO21,"")</f>
        <v>#DIV/0!</v>
      </c>
      <c r="AA46" s="42" t="e">
        <f>IF($V46&lt;&gt;"",Calc!AP21,"")</f>
        <v>#DIV/0!</v>
      </c>
      <c r="AB46" s="42" t="e">
        <f>IF($V46&lt;&gt;"",Calc!AQ21,"")</f>
        <v>#DIV/0!</v>
      </c>
    </row>
    <row r="48" spans="22:24" ht="12.75">
      <c r="V48" s="63" t="s">
        <v>175</v>
      </c>
      <c r="W48" s="65"/>
      <c r="X48" s="64"/>
    </row>
    <row r="49" spans="22:24" ht="12.75">
      <c r="V49" s="58" t="s">
        <v>118</v>
      </c>
      <c r="W49" s="58" t="s">
        <v>12</v>
      </c>
      <c r="X49" s="58" t="s">
        <v>176</v>
      </c>
    </row>
    <row r="50" spans="22:24" ht="12.75">
      <c r="V50" s="53">
        <v>100</v>
      </c>
      <c r="W50" s="42">
        <f>Calc!BL8</f>
        <v>3.150478494665553</v>
      </c>
      <c r="X50" s="42">
        <f>Calc!BL23</f>
        <v>3.150478494665553</v>
      </c>
    </row>
    <row r="51" spans="22:24" ht="12.75">
      <c r="V51" s="53">
        <v>90</v>
      </c>
      <c r="W51" s="42">
        <f>Calc!BL9</f>
        <v>2.01046498408196</v>
      </c>
      <c r="X51" s="42">
        <f>Calc!BL24</f>
        <v>2.01046498408196</v>
      </c>
    </row>
    <row r="52" spans="22:24" ht="12.75">
      <c r="V52" s="53">
        <v>80</v>
      </c>
      <c r="W52" s="42">
        <f>Calc!BL10</f>
        <v>1.5814593670105694</v>
      </c>
      <c r="X52" s="42">
        <f>Calc!BL25</f>
        <v>1.5814593670105694</v>
      </c>
    </row>
    <row r="53" spans="22:24" ht="12.75">
      <c r="V53" s="53">
        <v>70</v>
      </c>
      <c r="W53" s="42">
        <f>Calc!BL11</f>
        <v>1.4362265588037322</v>
      </c>
      <c r="X53" s="42">
        <f>Calc!BL26</f>
        <v>1.4362265588037322</v>
      </c>
    </row>
    <row r="54" spans="22:24" ht="12.75">
      <c r="V54" s="53">
        <v>60</v>
      </c>
      <c r="W54" s="42">
        <f>Calc!BL12</f>
        <v>1.2631660878156015</v>
      </c>
      <c r="X54" s="42">
        <f>Calc!BL27</f>
        <v>1.2631660878156015</v>
      </c>
    </row>
    <row r="55" spans="22:24" ht="12.75">
      <c r="V55" s="53">
        <v>50</v>
      </c>
      <c r="W55" s="42">
        <f>Calc!BL13</f>
        <v>1.2796765472436966</v>
      </c>
      <c r="X55" s="42">
        <f>Calc!BL28</f>
        <v>1.2796765472436966</v>
      </c>
    </row>
    <row r="56" spans="22:24" ht="12.75">
      <c r="V56" s="53">
        <v>40</v>
      </c>
      <c r="W56" s="42">
        <f>Calc!BL14</f>
        <v>1.2909630373084238</v>
      </c>
      <c r="X56" s="42">
        <f>Calc!BL29</f>
        <v>1.2909630373084238</v>
      </c>
    </row>
    <row r="57" spans="22:24" ht="12.75">
      <c r="V57" s="53">
        <v>30</v>
      </c>
      <c r="W57" s="42">
        <f>Calc!BL15</f>
        <v>1.3111047697915124</v>
      </c>
      <c r="X57" s="42">
        <f>Calc!BL30</f>
        <v>1.3111047697915124</v>
      </c>
    </row>
    <row r="58" spans="22:24" ht="12.75">
      <c r="V58" s="53">
        <v>20</v>
      </c>
      <c r="W58" s="42">
        <f>Calc!BL16</f>
        <v>0</v>
      </c>
      <c r="X58" s="42">
        <f>Calc!BL31</f>
        <v>0</v>
      </c>
    </row>
    <row r="59" spans="22:24" ht="12.75">
      <c r="V59" s="53">
        <v>10</v>
      </c>
      <c r="W59" s="42">
        <f>Calc!BL17</f>
        <v>0</v>
      </c>
      <c r="X59" s="42">
        <f>Calc!BL32</f>
        <v>0</v>
      </c>
    </row>
  </sheetData>
  <sheetProtection password="E8EE" sheet="1" objects="1" scenarios="1"/>
  <mergeCells count="6">
    <mergeCell ref="C30:D30"/>
    <mergeCell ref="V48:X48"/>
    <mergeCell ref="C4:E4"/>
    <mergeCell ref="C6:H6"/>
    <mergeCell ref="C12:D12"/>
    <mergeCell ref="C23:D23"/>
  </mergeCells>
  <printOptions/>
  <pageMargins left="0.5" right="0.5" top="0.5" bottom="0.5" header="0.5" footer="0.5"/>
  <pageSetup horizontalDpi="300" verticalDpi="300" orientation="portrait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V1"/>
  <sheetViews>
    <sheetView workbookViewId="0" topLeftCell="A1">
      <selection activeCell="B6" sqref="B6"/>
    </sheetView>
  </sheetViews>
  <sheetFormatPr defaultColWidth="9.140625" defaultRowHeight="12.75"/>
  <cols>
    <col min="1" max="1" width="17.57421875" style="27" customWidth="1"/>
    <col min="2" max="2" width="45.8515625" style="16" customWidth="1"/>
    <col min="3" max="11" width="9.140625" style="16" customWidth="1"/>
    <col min="12" max="166" width="11.57421875" style="16" customWidth="1"/>
    <col min="167" max="16384" width="9.140625" style="16" customWidth="1"/>
  </cols>
  <sheetData>
    <row r="1" spans="1:152" s="25" customFormat="1" ht="25.5">
      <c r="A1" s="26" t="s">
        <v>312</v>
      </c>
      <c r="B1" s="25" t="s">
        <v>177</v>
      </c>
      <c r="C1" s="25" t="s">
        <v>178</v>
      </c>
      <c r="D1" s="25" t="s">
        <v>181</v>
      </c>
      <c r="E1" s="25" t="s">
        <v>179</v>
      </c>
      <c r="F1" s="25" t="s">
        <v>182</v>
      </c>
      <c r="G1" s="25" t="s">
        <v>180</v>
      </c>
      <c r="H1" s="25" t="s">
        <v>183</v>
      </c>
      <c r="I1" s="25" t="s">
        <v>184</v>
      </c>
      <c r="J1" s="25" t="s">
        <v>185</v>
      </c>
      <c r="K1" s="25" t="s">
        <v>186</v>
      </c>
      <c r="L1" s="25" t="s">
        <v>187</v>
      </c>
      <c r="M1" s="25" t="s">
        <v>188</v>
      </c>
      <c r="N1" s="25" t="s">
        <v>189</v>
      </c>
      <c r="O1" s="25" t="s">
        <v>190</v>
      </c>
      <c r="P1" s="25" t="s">
        <v>191</v>
      </c>
      <c r="Q1" s="25" t="s">
        <v>192</v>
      </c>
      <c r="R1" s="25" t="s">
        <v>193</v>
      </c>
      <c r="S1" s="25" t="s">
        <v>194</v>
      </c>
      <c r="T1" s="25" t="s">
        <v>195</v>
      </c>
      <c r="U1" s="25" t="s">
        <v>196</v>
      </c>
      <c r="V1" s="25" t="s">
        <v>197</v>
      </c>
      <c r="W1" s="25" t="s">
        <v>198</v>
      </c>
      <c r="X1" s="25" t="s">
        <v>199</v>
      </c>
      <c r="Y1" s="25" t="s">
        <v>200</v>
      </c>
      <c r="Z1" s="25" t="s">
        <v>201</v>
      </c>
      <c r="AA1" s="25" t="s">
        <v>202</v>
      </c>
      <c r="AB1" s="25" t="s">
        <v>203</v>
      </c>
      <c r="AC1" s="25" t="s">
        <v>204</v>
      </c>
      <c r="AD1" s="25" t="s">
        <v>205</v>
      </c>
      <c r="AE1" s="25" t="s">
        <v>206</v>
      </c>
      <c r="AF1" s="25" t="s">
        <v>207</v>
      </c>
      <c r="AG1" s="25" t="s">
        <v>208</v>
      </c>
      <c r="AH1" s="25" t="s">
        <v>209</v>
      </c>
      <c r="AI1" s="25" t="s">
        <v>210</v>
      </c>
      <c r="AJ1" s="25" t="s">
        <v>211</v>
      </c>
      <c r="AK1" s="25" t="s">
        <v>212</v>
      </c>
      <c r="AL1" s="25" t="s">
        <v>213</v>
      </c>
      <c r="AM1" s="25" t="s">
        <v>214</v>
      </c>
      <c r="AN1" s="25" t="s">
        <v>215</v>
      </c>
      <c r="AO1" s="25" t="s">
        <v>216</v>
      </c>
      <c r="AP1" s="25" t="s">
        <v>217</v>
      </c>
      <c r="AQ1" s="25" t="s">
        <v>218</v>
      </c>
      <c r="AR1" s="25" t="s">
        <v>219</v>
      </c>
      <c r="AS1" s="25" t="s">
        <v>220</v>
      </c>
      <c r="AT1" s="25" t="s">
        <v>221</v>
      </c>
      <c r="AU1" s="25" t="s">
        <v>222</v>
      </c>
      <c r="AV1" s="25" t="s">
        <v>223</v>
      </c>
      <c r="AW1" s="25" t="s">
        <v>224</v>
      </c>
      <c r="AX1" s="25" t="s">
        <v>225</v>
      </c>
      <c r="AY1" s="25" t="s">
        <v>226</v>
      </c>
      <c r="AZ1" s="25" t="s">
        <v>227</v>
      </c>
      <c r="BA1" s="25" t="s">
        <v>228</v>
      </c>
      <c r="BB1" s="25" t="s">
        <v>229</v>
      </c>
      <c r="BC1" s="25" t="s">
        <v>230</v>
      </c>
      <c r="BD1" s="25" t="s">
        <v>231</v>
      </c>
      <c r="BE1" s="25" t="s">
        <v>232</v>
      </c>
      <c r="BF1" s="25" t="s">
        <v>233</v>
      </c>
      <c r="BG1" s="25" t="s">
        <v>234</v>
      </c>
      <c r="BH1" s="25" t="s">
        <v>235</v>
      </c>
      <c r="BI1" s="25" t="s">
        <v>236</v>
      </c>
      <c r="BJ1" s="25" t="s">
        <v>237</v>
      </c>
      <c r="BK1" s="25" t="s">
        <v>238</v>
      </c>
      <c r="BL1" s="25" t="s">
        <v>239</v>
      </c>
      <c r="BM1" s="25" t="s">
        <v>240</v>
      </c>
      <c r="BN1" s="25" t="s">
        <v>241</v>
      </c>
      <c r="BO1" s="25" t="s">
        <v>242</v>
      </c>
      <c r="BP1" s="25" t="s">
        <v>243</v>
      </c>
      <c r="BQ1" s="25" t="s">
        <v>244</v>
      </c>
      <c r="BR1" s="25" t="s">
        <v>245</v>
      </c>
      <c r="BS1" s="25" t="s">
        <v>246</v>
      </c>
      <c r="BT1" s="25" t="s">
        <v>247</v>
      </c>
      <c r="BU1" s="25" t="s">
        <v>248</v>
      </c>
      <c r="BV1" s="25" t="s">
        <v>249</v>
      </c>
      <c r="BW1" s="25" t="s">
        <v>250</v>
      </c>
      <c r="BX1" s="25" t="s">
        <v>251</v>
      </c>
      <c r="BY1" s="25" t="s">
        <v>252</v>
      </c>
      <c r="BZ1" s="25" t="s">
        <v>253</v>
      </c>
      <c r="CA1" s="25" t="s">
        <v>254</v>
      </c>
      <c r="CB1" s="25" t="s">
        <v>255</v>
      </c>
      <c r="CC1" s="25" t="s">
        <v>256</v>
      </c>
      <c r="CD1" s="25" t="s">
        <v>257</v>
      </c>
      <c r="CE1" s="25" t="s">
        <v>258</v>
      </c>
      <c r="CF1" s="25" t="s">
        <v>259</v>
      </c>
      <c r="CG1" s="25" t="s">
        <v>260</v>
      </c>
      <c r="CH1" s="25" t="s">
        <v>261</v>
      </c>
      <c r="CI1" s="25" t="s">
        <v>262</v>
      </c>
      <c r="CJ1" s="25" t="s">
        <v>263</v>
      </c>
      <c r="CK1" s="25" t="s">
        <v>264</v>
      </c>
      <c r="CL1" s="25" t="s">
        <v>265</v>
      </c>
      <c r="CM1" s="25" t="s">
        <v>266</v>
      </c>
      <c r="CN1" s="25" t="s">
        <v>267</v>
      </c>
      <c r="CO1" s="25" t="s">
        <v>268</v>
      </c>
      <c r="CP1" s="25" t="s">
        <v>269</v>
      </c>
      <c r="CQ1" s="25" t="s">
        <v>270</v>
      </c>
      <c r="CR1" s="25" t="s">
        <v>271</v>
      </c>
      <c r="CS1" s="25" t="s">
        <v>272</v>
      </c>
      <c r="CT1" s="25" t="s">
        <v>273</v>
      </c>
      <c r="CU1" s="25" t="s">
        <v>274</v>
      </c>
      <c r="CV1" s="25" t="s">
        <v>275</v>
      </c>
      <c r="CW1" s="25" t="s">
        <v>276</v>
      </c>
      <c r="CX1" s="25" t="s">
        <v>277</v>
      </c>
      <c r="CY1" s="25" t="s">
        <v>278</v>
      </c>
      <c r="CZ1" s="25" t="s">
        <v>279</v>
      </c>
      <c r="DA1" s="25" t="s">
        <v>280</v>
      </c>
      <c r="DB1" s="25" t="s">
        <v>281</v>
      </c>
      <c r="DC1" s="25" t="s">
        <v>282</v>
      </c>
      <c r="DD1" s="25" t="s">
        <v>283</v>
      </c>
      <c r="DE1" s="25" t="s">
        <v>284</v>
      </c>
      <c r="DF1" s="25" t="s">
        <v>285</v>
      </c>
      <c r="DG1" s="25" t="s">
        <v>286</v>
      </c>
      <c r="DH1" s="25" t="s">
        <v>287</v>
      </c>
      <c r="DI1" s="25" t="s">
        <v>288</v>
      </c>
      <c r="DJ1" s="25" t="s">
        <v>289</v>
      </c>
      <c r="DK1" s="25" t="s">
        <v>290</v>
      </c>
      <c r="DL1" s="25" t="s">
        <v>291</v>
      </c>
      <c r="DM1" s="25" t="s">
        <v>292</v>
      </c>
      <c r="DN1" s="25" t="s">
        <v>293</v>
      </c>
      <c r="DO1" s="25" t="s">
        <v>294</v>
      </c>
      <c r="DP1" s="25" t="s">
        <v>295</v>
      </c>
      <c r="DQ1" s="25" t="s">
        <v>296</v>
      </c>
      <c r="DR1" s="25" t="s">
        <v>297</v>
      </c>
      <c r="DS1" s="25" t="s">
        <v>298</v>
      </c>
      <c r="DT1" s="25" t="s">
        <v>299</v>
      </c>
      <c r="DU1" s="25" t="s">
        <v>300</v>
      </c>
      <c r="DV1" s="25" t="s">
        <v>301</v>
      </c>
      <c r="DW1" s="25" t="s">
        <v>302</v>
      </c>
      <c r="DX1" s="25" t="s">
        <v>303</v>
      </c>
      <c r="DY1" s="25" t="s">
        <v>304</v>
      </c>
      <c r="DZ1" s="25" t="s">
        <v>305</v>
      </c>
      <c r="EA1" s="25" t="s">
        <v>306</v>
      </c>
      <c r="EB1" s="25" t="s">
        <v>307</v>
      </c>
      <c r="EC1" s="25" t="s">
        <v>308</v>
      </c>
      <c r="ED1" s="25" t="s">
        <v>309</v>
      </c>
      <c r="EE1" s="25" t="s">
        <v>310</v>
      </c>
      <c r="EF1" s="25" t="s">
        <v>311</v>
      </c>
      <c r="EG1" s="25" t="s">
        <v>314</v>
      </c>
      <c r="EH1" s="25" t="s">
        <v>315</v>
      </c>
      <c r="EI1" s="25" t="s">
        <v>316</v>
      </c>
      <c r="EJ1" s="25" t="s">
        <v>317</v>
      </c>
      <c r="EK1" s="25" t="s">
        <v>318</v>
      </c>
      <c r="EL1" s="25" t="s">
        <v>319</v>
      </c>
      <c r="EM1" s="25" t="s">
        <v>320</v>
      </c>
      <c r="EN1" s="25" t="s">
        <v>321</v>
      </c>
      <c r="EO1" s="25" t="s">
        <v>322</v>
      </c>
      <c r="EP1" s="25" t="s">
        <v>323</v>
      </c>
      <c r="EQ1" s="25" t="s">
        <v>324</v>
      </c>
      <c r="ER1" s="25" t="s">
        <v>325</v>
      </c>
      <c r="ES1" s="25" t="s">
        <v>326</v>
      </c>
      <c r="ET1" s="25" t="s">
        <v>327</v>
      </c>
      <c r="EU1" s="25" t="s">
        <v>328</v>
      </c>
      <c r="EV1" s="25" t="s">
        <v>331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D5"/>
  <sheetViews>
    <sheetView showRowColHeaders="0" workbookViewId="0" topLeftCell="A1">
      <selection activeCell="H24" sqref="H24"/>
    </sheetView>
  </sheetViews>
  <sheetFormatPr defaultColWidth="9.140625" defaultRowHeight="12.75"/>
  <cols>
    <col min="1" max="16384" width="9.140625" style="60" customWidth="1"/>
  </cols>
  <sheetData>
    <row r="1" s="59" customFormat="1" ht="39" customHeight="1">
      <c r="C1" s="59" t="s">
        <v>332</v>
      </c>
    </row>
    <row r="3" ht="12.75">
      <c r="B3" s="62" t="e">
        <v>#N/A</v>
      </c>
    </row>
    <row r="5" ht="12.75">
      <c r="D5" s="61" t="s">
        <v>333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BL92"/>
  <sheetViews>
    <sheetView workbookViewId="0" topLeftCell="A1">
      <selection activeCell="B27" sqref="B27"/>
    </sheetView>
  </sheetViews>
  <sheetFormatPr defaultColWidth="9.140625" defaultRowHeight="12.75"/>
  <cols>
    <col min="1" max="1" width="18.421875" style="0" customWidth="1"/>
    <col min="5" max="5" width="10.8515625" style="0" customWidth="1"/>
    <col min="6" max="6" width="11.421875" style="0" customWidth="1"/>
    <col min="12" max="13" width="9.57421875" style="0" bestFit="1" customWidth="1"/>
    <col min="15" max="15" width="12.421875" style="0" customWidth="1"/>
    <col min="20" max="20" width="23.421875" style="0" customWidth="1"/>
    <col min="21" max="22" width="9.140625" style="16" customWidth="1"/>
    <col min="30" max="30" width="10.140625" style="0" customWidth="1"/>
    <col min="43" max="43" width="11.28125" style="0" customWidth="1"/>
    <col min="50" max="50" width="9.7109375" style="0" customWidth="1"/>
    <col min="53" max="58" width="10.7109375" style="0" customWidth="1"/>
    <col min="60" max="60" width="10.28125" style="0" customWidth="1"/>
    <col min="63" max="63" width="10.28125" style="0" customWidth="1"/>
    <col min="64" max="64" width="11.00390625" style="0" customWidth="1"/>
  </cols>
  <sheetData>
    <row r="1" ht="12.75"/>
    <row r="2" spans="1:16" ht="12.75">
      <c r="A2" t="s">
        <v>22</v>
      </c>
      <c r="C2" s="16">
        <f>IF(MDFeet,millDiameter/3.28,millDiameter)</f>
        <v>0</v>
      </c>
      <c r="D2" t="s">
        <v>18</v>
      </c>
      <c r="N2" t="s">
        <v>68</v>
      </c>
      <c r="P2" t="s">
        <v>40</v>
      </c>
    </row>
    <row r="3" spans="1:21" ht="12.75">
      <c r="A3" t="s">
        <v>25</v>
      </c>
      <c r="B3" t="b">
        <v>0</v>
      </c>
      <c r="F3" t="s">
        <v>38</v>
      </c>
      <c r="G3" t="s">
        <v>37</v>
      </c>
      <c r="H3" t="s">
        <v>36</v>
      </c>
      <c r="I3" t="s">
        <v>35</v>
      </c>
      <c r="J3" t="s">
        <v>34</v>
      </c>
      <c r="K3" t="s">
        <v>39</v>
      </c>
      <c r="L3" t="s">
        <v>58</v>
      </c>
      <c r="N3" t="s">
        <v>73</v>
      </c>
      <c r="P3" t="s">
        <v>41</v>
      </c>
      <c r="Q3" t="s">
        <v>42</v>
      </c>
      <c r="R3" s="15" t="s">
        <v>45</v>
      </c>
      <c r="T3" t="s">
        <v>65</v>
      </c>
      <c r="U3" s="16">
        <f>GSTD^(1/3.8)</f>
        <v>6.968918324717868</v>
      </c>
    </row>
    <row r="4" spans="1:58" ht="15.75">
      <c r="A4" t="s">
        <v>26</v>
      </c>
      <c r="B4" t="b">
        <v>0</v>
      </c>
      <c r="F4">
        <v>6350</v>
      </c>
      <c r="G4" s="16">
        <v>100.18538665771484</v>
      </c>
      <c r="H4" s="16">
        <v>100.95144653320312</v>
      </c>
      <c r="I4" s="16">
        <v>109.1717300415039</v>
      </c>
      <c r="J4" s="16">
        <v>100.11550903320312</v>
      </c>
      <c r="K4" s="16">
        <f>IF(CT=1,(G4+(CL/100)*J4)/(CL/100+1),IF(CT=2,J4,G4))</f>
        <v>100.18538665771484</v>
      </c>
      <c r="L4" s="17">
        <f>IF(OR(OR(K5&gt;100,K5&lt;80),OR(K4&gt;100,K4&lt;80)),0,(F4-F5)*(K4+K5)/2)</f>
        <v>0</v>
      </c>
      <c r="M4" s="16"/>
      <c r="N4" s="16">
        <f>IF(BSInches,'User Data'!N7*25.4,'User Data'!N7)</f>
        <v>0</v>
      </c>
      <c r="P4" s="16">
        <f>IF(CT=1,I4-H4,IF(CT=2,I4-G4,0))</f>
        <v>0</v>
      </c>
      <c r="Q4" s="16">
        <f>IF(CT=1,H4-J4,IF(CT=2,H4-J4,0))</f>
        <v>0</v>
      </c>
      <c r="R4" s="16">
        <f>IF(Q4&lt;&gt;0,100*P4/Q4,0)</f>
        <v>0</v>
      </c>
      <c r="T4" t="s">
        <v>66</v>
      </c>
      <c r="U4" s="16">
        <f>IF(sg=0,bwi^(1/2.5),(bwi*sg)^(1/2.5))</f>
        <v>0</v>
      </c>
      <c r="BA4" s="24" t="s">
        <v>117</v>
      </c>
      <c r="BB4" s="15"/>
      <c r="BC4" s="15"/>
      <c r="BD4" s="15"/>
      <c r="BE4" s="15"/>
      <c r="BF4" s="15"/>
    </row>
    <row r="5" spans="6:58" ht="15.75">
      <c r="F5">
        <v>4700</v>
      </c>
      <c r="G5" s="16">
        <v>99.6</v>
      </c>
      <c r="H5" s="16">
        <v>100.7202377319336</v>
      </c>
      <c r="I5" s="16">
        <v>108.2333984375</v>
      </c>
      <c r="J5" s="16">
        <v>99.98</v>
      </c>
      <c r="K5" s="16">
        <f aca="true" t="shared" si="0" ref="K5:K28">IF(CT=1,(G5+(CL/100)*J5)/(CL/100+1),IF(CT=2,J5,G5))</f>
        <v>99.6</v>
      </c>
      <c r="L5" s="17">
        <f aca="true" t="shared" si="1" ref="L5:L28">IF(OR(OR(K6&gt;100,K6&lt;80),OR(K5&gt;100,K5&lt;80)),0,(F5-F6)*(K5+K6)/2)</f>
        <v>300714.75</v>
      </c>
      <c r="M5" s="16"/>
      <c r="N5" s="16">
        <f>IF(BSInches,'User Data'!N8*25.4,'User Data'!N8)</f>
        <v>0</v>
      </c>
      <c r="P5" s="16">
        <f aca="true" t="shared" si="2" ref="P5:P28">IF(CT=1,I5-H5,IF(CT=2,I5-G5,0))</f>
        <v>0</v>
      </c>
      <c r="Q5" s="16">
        <f aca="true" t="shared" si="3" ref="Q5:Q28">IF(CT=1,H5-J5,IF(CT=2,H5-J5,0))</f>
        <v>0</v>
      </c>
      <c r="R5" s="16">
        <f aca="true" t="shared" si="4" ref="R5:R28">IF(Q5&lt;&gt;0,100*P5/Q5,0)</f>
        <v>0</v>
      </c>
      <c r="T5" t="s">
        <v>67</v>
      </c>
      <c r="U5" s="16">
        <f>(MD*MS)^(0.25)</f>
        <v>0</v>
      </c>
      <c r="X5" s="15"/>
      <c r="Y5" s="15" t="e">
        <f>K40/Index^3.8</f>
        <v>#DIV/0!</v>
      </c>
      <c r="Z5" s="15" t="s">
        <v>85</v>
      </c>
      <c r="AA5" s="15" t="s">
        <v>85</v>
      </c>
      <c r="AB5" s="15" t="s">
        <v>88</v>
      </c>
      <c r="AC5" s="15" t="s">
        <v>88</v>
      </c>
      <c r="AD5" s="15" t="s">
        <v>81</v>
      </c>
      <c r="AE5" s="15"/>
      <c r="AF5" s="15"/>
      <c r="AG5" s="15" t="s">
        <v>96</v>
      </c>
      <c r="AH5" s="15"/>
      <c r="AI5" s="15" t="s">
        <v>98</v>
      </c>
      <c r="AJ5" s="15"/>
      <c r="AK5" s="15"/>
      <c r="AL5" s="15" t="s">
        <v>68</v>
      </c>
      <c r="AM5" s="15" t="s">
        <v>98</v>
      </c>
      <c r="AN5" s="15"/>
      <c r="AO5" s="15" t="s">
        <v>101</v>
      </c>
      <c r="AP5" s="15" t="s">
        <v>103</v>
      </c>
      <c r="AQ5" s="15" t="s">
        <v>105</v>
      </c>
      <c r="AR5" s="15" t="s">
        <v>112</v>
      </c>
      <c r="AS5" s="15" t="s">
        <v>109</v>
      </c>
      <c r="AY5" s="15" t="s">
        <v>104</v>
      </c>
      <c r="BA5" s="24"/>
      <c r="BB5" s="24" t="s">
        <v>127</v>
      </c>
      <c r="BC5" s="15"/>
      <c r="BD5" s="15"/>
      <c r="BE5" s="15"/>
      <c r="BF5" s="15"/>
    </row>
    <row r="6" spans="1:64" ht="12.75">
      <c r="A6" t="s">
        <v>23</v>
      </c>
      <c r="C6" s="16">
        <f>IF(MSCRITICAL,millSpeed/100*42.2/SQRT(MD),millSpeed)</f>
        <v>0</v>
      </c>
      <c r="D6" t="s">
        <v>19</v>
      </c>
      <c r="F6">
        <v>1650</v>
      </c>
      <c r="G6" s="16">
        <v>97.59</v>
      </c>
      <c r="H6" s="16">
        <v>99.92</v>
      </c>
      <c r="I6" s="16">
        <v>105.03137969970703</v>
      </c>
      <c r="J6" s="16">
        <v>99.51</v>
      </c>
      <c r="K6" s="16">
        <f t="shared" si="0"/>
        <v>97.59</v>
      </c>
      <c r="L6" s="17">
        <f t="shared" si="1"/>
        <v>99979.2</v>
      </c>
      <c r="M6" s="16"/>
      <c r="N6" s="16">
        <f>IF(BSInches,'User Data'!N9*25.4,'User Data'!N9)</f>
        <v>0</v>
      </c>
      <c r="P6" s="16">
        <f t="shared" si="2"/>
        <v>0</v>
      </c>
      <c r="Q6" s="16">
        <f t="shared" si="3"/>
        <v>0</v>
      </c>
      <c r="R6" s="16">
        <f t="shared" si="4"/>
        <v>0</v>
      </c>
      <c r="T6" t="s">
        <v>76</v>
      </c>
      <c r="U6" s="16" t="e">
        <f>IF(sg=0,6.7,4.5)*U3*U4/U5</f>
        <v>#DIV/0!</v>
      </c>
      <c r="V6" s="16" t="e">
        <f>MaxDia/25.4</f>
        <v>#DIV/0!</v>
      </c>
      <c r="X6" s="15" t="s">
        <v>80</v>
      </c>
      <c r="Y6" s="15" t="s">
        <v>79</v>
      </c>
      <c r="Z6" s="15" t="s">
        <v>86</v>
      </c>
      <c r="AA6" s="15" t="s">
        <v>87</v>
      </c>
      <c r="AB6" s="15" t="s">
        <v>86</v>
      </c>
      <c r="AC6" s="15" t="s">
        <v>87</v>
      </c>
      <c r="AD6" s="15" t="s">
        <v>82</v>
      </c>
      <c r="AE6" s="15" t="s">
        <v>83</v>
      </c>
      <c r="AF6" s="15" t="s">
        <v>84</v>
      </c>
      <c r="AG6" s="15" t="s">
        <v>84</v>
      </c>
      <c r="AH6" s="15" t="s">
        <v>97</v>
      </c>
      <c r="AI6" s="15" t="s">
        <v>86</v>
      </c>
      <c r="AJ6" s="15" t="s">
        <v>87</v>
      </c>
      <c r="AK6" s="15" t="s">
        <v>99</v>
      </c>
      <c r="AL6" s="15" t="s">
        <v>73</v>
      </c>
      <c r="AM6" s="15" t="s">
        <v>86</v>
      </c>
      <c r="AN6" s="15" t="s">
        <v>87</v>
      </c>
      <c r="AO6" s="15" t="s">
        <v>102</v>
      </c>
      <c r="AP6" s="15" t="s">
        <v>104</v>
      </c>
      <c r="AQ6" s="15" t="s">
        <v>88</v>
      </c>
      <c r="AR6" s="15" t="s">
        <v>113</v>
      </c>
      <c r="AS6" s="15" t="s">
        <v>41</v>
      </c>
      <c r="AT6" s="15" t="s">
        <v>42</v>
      </c>
      <c r="AU6" s="15"/>
      <c r="AV6" s="15" t="s">
        <v>107</v>
      </c>
      <c r="AY6" s="15" t="s">
        <v>114</v>
      </c>
      <c r="BB6" s="15" t="s">
        <v>124</v>
      </c>
      <c r="BG6" s="15" t="s">
        <v>125</v>
      </c>
      <c r="BJ6" s="15"/>
      <c r="BL6" s="15" t="s">
        <v>126</v>
      </c>
    </row>
    <row r="7" spans="1:64" ht="12.75">
      <c r="A7" t="s">
        <v>27</v>
      </c>
      <c r="B7" t="b">
        <v>0</v>
      </c>
      <c r="F7">
        <v>590</v>
      </c>
      <c r="G7" s="16">
        <v>91.05</v>
      </c>
      <c r="H7" s="16">
        <v>99.14</v>
      </c>
      <c r="I7" s="16">
        <v>101.97784423828125</v>
      </c>
      <c r="J7" s="16">
        <v>96.09</v>
      </c>
      <c r="K7" s="16">
        <f t="shared" si="0"/>
        <v>91.05</v>
      </c>
      <c r="L7" s="17">
        <f t="shared" si="1"/>
        <v>15717.625</v>
      </c>
      <c r="M7" s="16"/>
      <c r="N7" s="16">
        <f>IF(BSInches,'User Data'!N10*25.4,'User Data'!N10)</f>
        <v>0</v>
      </c>
      <c r="P7" s="16">
        <f t="shared" si="2"/>
        <v>0</v>
      </c>
      <c r="Q7" s="16">
        <f t="shared" si="3"/>
        <v>0</v>
      </c>
      <c r="R7" s="16">
        <f t="shared" si="4"/>
        <v>0</v>
      </c>
      <c r="X7">
        <v>1</v>
      </c>
      <c r="Y7" s="17">
        <f>G40</f>
        <v>5773.94677734375</v>
      </c>
      <c r="Z7" s="17">
        <f>BCEFind(Microns,Microns,$Y7,TRUE)</f>
        <v>6350</v>
      </c>
      <c r="AA7" s="17">
        <f>BCEFind(Microns,Microns,$Y7,FALSE)</f>
        <v>4700</v>
      </c>
      <c r="AB7" s="16">
        <f>BCEFind($K$4:$K$28,$F$4:$F$28,Y7,TRUE)</f>
        <v>100.18538665771484</v>
      </c>
      <c r="AC7" s="16">
        <f>BCEFind($K$4:$K$28,$F$4:$F$28,Y7,FALSE)</f>
        <v>99.5999984741211</v>
      </c>
      <c r="AD7" s="16" t="e">
        <f>IF(X7&lt;=Index,(Index-(X7-1))/Index*MaxDia,0)</f>
        <v>#DIV/0!</v>
      </c>
      <c r="AE7" s="16" t="e">
        <f>AD7/25.4</f>
        <v>#DIV/0!</v>
      </c>
      <c r="AF7" s="16">
        <v>100</v>
      </c>
      <c r="AG7" s="16">
        <f>IF(AF7-$AF$32&gt;0,AF7-$AF$32,0)</f>
        <v>33.520203378745336</v>
      </c>
      <c r="AH7" s="16" t="e">
        <f>100*AG7/$AG$22</f>
        <v>#VALUE!</v>
      </c>
      <c r="AI7" s="16" t="e">
        <f>IF(X7&lt;=Index,AH7*(Index-X7+1)^1.6/((Index-X7+1)^1.6+(Index-X7)^1.6),0)</f>
        <v>#DIV/0!</v>
      </c>
      <c r="AJ7" s="16">
        <v>0</v>
      </c>
      <c r="AK7" s="16" t="e">
        <f>AJ7+AI7</f>
        <v>#DIV/0!</v>
      </c>
      <c r="AL7" s="22" t="e">
        <f>BCEFind(AvailSizes,AvailSizes,AD7,UseAbove)</f>
        <v>#VALUE!</v>
      </c>
      <c r="AM7" s="16" t="e">
        <f>IF(X7&lt;=Index,AK7*(AL7/AD7)*(AL8-AD7)/(AL8-AL7),0)</f>
        <v>#DIV/0!</v>
      </c>
      <c r="AN7" s="16">
        <f>0</f>
        <v>0</v>
      </c>
      <c r="AO7" s="16" t="e">
        <f>AM7+AN7</f>
        <v>#DIV/0!</v>
      </c>
      <c r="AP7" s="16" t="e">
        <f>AI28</f>
        <v>#DIV/0!</v>
      </c>
      <c r="AQ7" s="16" t="e">
        <f>100*AP7/$AP$22</f>
        <v>#DIV/0!</v>
      </c>
      <c r="AR7" s="17" t="e">
        <f>AQ7*AL7</f>
        <v>#DIV/0!</v>
      </c>
      <c r="AS7" s="16">
        <v>0</v>
      </c>
      <c r="AT7" s="16">
        <v>0</v>
      </c>
      <c r="AU7" s="16"/>
      <c r="AV7" t="s">
        <v>111</v>
      </c>
      <c r="AX7" s="22" t="e">
        <f>AL7</f>
        <v>#VALUE!</v>
      </c>
      <c r="AY7" s="16" t="e">
        <f>(AR22-(100*AX8))/(AX7-AX8)</f>
        <v>#DIV/0!</v>
      </c>
      <c r="BA7" s="15" t="s">
        <v>118</v>
      </c>
      <c r="BB7" s="15" t="s">
        <v>120</v>
      </c>
      <c r="BC7" s="15" t="s">
        <v>121</v>
      </c>
      <c r="BD7" s="15" t="s">
        <v>122</v>
      </c>
      <c r="BE7" s="15" t="s">
        <v>123</v>
      </c>
      <c r="BF7" s="15" t="s">
        <v>11</v>
      </c>
      <c r="BG7" s="15" t="s">
        <v>120</v>
      </c>
      <c r="BH7" s="15" t="s">
        <v>121</v>
      </c>
      <c r="BI7" s="15" t="s">
        <v>122</v>
      </c>
      <c r="BJ7" s="15" t="s">
        <v>123</v>
      </c>
      <c r="BK7" s="15" t="s">
        <v>13</v>
      </c>
      <c r="BL7" s="15" t="s">
        <v>119</v>
      </c>
    </row>
    <row r="8" spans="1:64" ht="12.75">
      <c r="A8" t="s">
        <v>28</v>
      </c>
      <c r="B8" t="b">
        <v>0</v>
      </c>
      <c r="F8">
        <v>415</v>
      </c>
      <c r="G8" s="16">
        <v>88.58</v>
      </c>
      <c r="H8" s="16">
        <v>97.78</v>
      </c>
      <c r="I8" s="16">
        <v>100.95366668701172</v>
      </c>
      <c r="J8" s="16">
        <v>92.39</v>
      </c>
      <c r="K8" s="16">
        <f t="shared" si="0"/>
        <v>88.58</v>
      </c>
      <c r="L8" s="17">
        <f t="shared" si="1"/>
        <v>10191</v>
      </c>
      <c r="M8" s="16"/>
      <c r="N8" s="16">
        <f>IF(BSInches,'User Data'!N11*25.4,'User Data'!N11)</f>
        <v>0</v>
      </c>
      <c r="P8" s="16">
        <f t="shared" si="2"/>
        <v>0</v>
      </c>
      <c r="Q8" s="16">
        <f t="shared" si="3"/>
        <v>0</v>
      </c>
      <c r="R8" s="16">
        <f t="shared" si="4"/>
        <v>0</v>
      </c>
      <c r="T8" t="s">
        <v>77</v>
      </c>
      <c r="U8" s="16" t="e">
        <f>IF(MaxDia&lt;50,5,IF(AND(MaxDia&gt;=50,MaxDia&lt;75),10,IF(AND(MaxDia&gt;=75,MaxDia&lt;100),15,20)))</f>
        <v>#DIV/0!</v>
      </c>
      <c r="X8">
        <v>2</v>
      </c>
      <c r="Y8" s="17" t="e">
        <f>IF(X7&lt;=Index,$Y$5*(Index-X7)^3.8,0)</f>
        <v>#DIV/0!</v>
      </c>
      <c r="Z8" s="17" t="e">
        <f aca="true" t="shared" si="5" ref="Z8:Z21">BCEFind(Microns,Microns,$Y8,TRUE)</f>
        <v>#VALUE!</v>
      </c>
      <c r="AA8" s="17" t="e">
        <f aca="true" t="shared" si="6" ref="AA8:AA21">BCEFind(Microns,Microns,$Y8,FALSE)</f>
        <v>#VALUE!</v>
      </c>
      <c r="AB8" s="16" t="e">
        <f aca="true" t="shared" si="7" ref="AB8:AB21">BCEFind($K$4:$K$28,$F$4:$F$28,Y8,TRUE)</f>
        <v>#VALUE!</v>
      </c>
      <c r="AC8" s="16" t="e">
        <f aca="true" t="shared" si="8" ref="AC8:AC21">BCEFind($K$4:$K$28,$F$4:$F$28,Y8,FALSE)</f>
        <v>#VALUE!</v>
      </c>
      <c r="AD8" s="16" t="e">
        <f aca="true" t="shared" si="9" ref="AD8:AD21">IF(X8&lt;=Index,(Index-(X8-1))/Index*MaxDia,0)</f>
        <v>#DIV/0!</v>
      </c>
      <c r="AE8" s="16" t="e">
        <f aca="true" t="shared" si="10" ref="AE8:AE21">AD8/25.4</f>
        <v>#DIV/0!</v>
      </c>
      <c r="AF8" s="16" t="e">
        <f aca="true" t="shared" si="11" ref="AF8:AF21">Interpolate(AB8,AC8,Z8,AA8,Y8)</f>
        <v>#VALUE!</v>
      </c>
      <c r="AG8" s="16" t="e">
        <f aca="true" t="shared" si="12" ref="AG8:AG21">IF(AF8-$AF$32&gt;0,AF8-$AF$32,0)</f>
        <v>#VALUE!</v>
      </c>
      <c r="AH8" s="16" t="e">
        <f aca="true" t="shared" si="13" ref="AH8:AH21">100*AG8/$AG$22</f>
        <v>#VALUE!</v>
      </c>
      <c r="AI8" s="16" t="e">
        <f aca="true" t="shared" si="14" ref="AI8:AI21">IF(X8&lt;=Index,AH8*(Index-X8+1)^1.6/((Index-X8+1)^1.6+(Index-X8)^1.6),0)</f>
        <v>#DIV/0!</v>
      </c>
      <c r="AJ8" s="16" t="e">
        <f>IF(X7&lt;=Index,AH7*(Index-X7)^1.6/((Index-X7+1)^1.6+(Index-X7)^1.6),0)</f>
        <v>#DIV/0!</v>
      </c>
      <c r="AK8" s="16" t="e">
        <f aca="true" t="shared" si="15" ref="AK8:AK21">AJ8+AI8</f>
        <v>#DIV/0!</v>
      </c>
      <c r="AL8" s="22" t="e">
        <f>IF(X8&lt;=Index,AL$7-(Increment*X7),0)</f>
        <v>#DIV/0!</v>
      </c>
      <c r="AM8" s="16" t="e">
        <f aca="true" t="shared" si="16" ref="AM8:AM21">IF(X8&lt;=Index,AK8*(AL8/AD8)*(AL9-AD8)/(AL9-AL8),0)</f>
        <v>#DIV/0!</v>
      </c>
      <c r="AN8" s="16" t="e">
        <f>IF(X8&lt;=Index,AK7*(AL8/AD7)*(AL7-AD7)/(AL7-AL8),0)</f>
        <v>#DIV/0!</v>
      </c>
      <c r="AO8" s="16" t="e">
        <f aca="true" t="shared" si="17" ref="AO8:AO21">AM8+AN8</f>
        <v>#DIV/0!</v>
      </c>
      <c r="AP8" s="16" t="e">
        <f>AJ29</f>
        <v>#DIV/0!</v>
      </c>
      <c r="AQ8" s="16" t="e">
        <f aca="true" t="shared" si="18" ref="AQ8:AQ21">100*AP8/$AP$22</f>
        <v>#DIV/0!</v>
      </c>
      <c r="AR8" s="17" t="e">
        <f aca="true" t="shared" si="19" ref="AR8:AR21">AQ8*AL8</f>
        <v>#DIV/0!</v>
      </c>
      <c r="AS8" s="16" t="e">
        <f aca="true" t="shared" si="20" ref="AS8:AS21">IF(AL8&gt;AX$12,AQ8*(AX$11-AL8)/(AX$11-AX$12),0)</f>
        <v>#DIV/0!</v>
      </c>
      <c r="AT8" s="16" t="e">
        <f aca="true" t="shared" si="21" ref="AT8:AT21">IF(AL8&gt;AX$12,AQ8*(AL8-AX$12)/(AX$11-AX$12),0)</f>
        <v>#DIV/0!</v>
      </c>
      <c r="AU8" s="16"/>
      <c r="AV8" t="s">
        <v>108</v>
      </c>
      <c r="AX8" s="22" t="e">
        <f>BCEFind(AvailSizes,AvailSizes,0.7*AL7,FALSE)</f>
        <v>#VALUE!</v>
      </c>
      <c r="AY8" s="16" t="e">
        <f>100-AY7</f>
        <v>#DIV/0!</v>
      </c>
      <c r="BA8">
        <v>100</v>
      </c>
      <c r="BB8">
        <f>BCEFind(Microns,CBMF,$BA8,TRUE)</f>
        <v>6350</v>
      </c>
      <c r="BC8">
        <f>BCEFind(Microns,CBMF,$BA8,FALSE)</f>
        <v>4700</v>
      </c>
      <c r="BD8" s="16">
        <f>BCEFind(CBMF,CBMF,$BA8,TRUE)</f>
        <v>100.18538665771484</v>
      </c>
      <c r="BE8" s="16">
        <f>BCEFind(CBMF,CBMF,$BA8,FALSE)</f>
        <v>99.5999984741211</v>
      </c>
      <c r="BF8" s="17">
        <f>Interpolate(BB8,BC8,BD8,BE8,BA8)</f>
        <v>5773.94677734375</v>
      </c>
      <c r="BG8">
        <f>BCEFind(Microns,BMD,$BA8,TRUE)</f>
        <v>4700</v>
      </c>
      <c r="BH8">
        <f>BCEFind(Microns,BMD,$BA8,FALSE)</f>
        <v>1650</v>
      </c>
      <c r="BI8" s="16">
        <f>BCEFind(BMD,BMD,$BA8,TRUE)</f>
        <v>100.7202377319336</v>
      </c>
      <c r="BJ8" s="16">
        <f>BCEFind(BMD,BMD,$BA8,FALSE)</f>
        <v>99.91999816894531</v>
      </c>
      <c r="BK8" s="17">
        <f>Interpolate(BG8,BH8,BI8,BJ8,BA8)</f>
        <v>1832.7205810546875</v>
      </c>
      <c r="BL8" s="16">
        <f>IF(BK8&lt;&gt;0,BF8/BK8,0)</f>
        <v>3.150478494665553</v>
      </c>
    </row>
    <row r="9" spans="6:64" ht="12.75">
      <c r="F9">
        <v>295</v>
      </c>
      <c r="G9" s="16">
        <v>81.27</v>
      </c>
      <c r="H9" s="16">
        <v>94.28</v>
      </c>
      <c r="I9" s="16">
        <v>99.97</v>
      </c>
      <c r="J9" s="16">
        <v>85.21</v>
      </c>
      <c r="K9" s="16">
        <f t="shared" si="0"/>
        <v>81.27</v>
      </c>
      <c r="L9" s="17">
        <f t="shared" si="1"/>
        <v>0</v>
      </c>
      <c r="M9" s="16"/>
      <c r="N9" s="16">
        <f>IF(BSInches,'User Data'!N12*25.4,'User Data'!N12)</f>
        <v>0</v>
      </c>
      <c r="P9" s="16">
        <f t="shared" si="2"/>
        <v>0</v>
      </c>
      <c r="Q9" s="16">
        <f t="shared" si="3"/>
        <v>0</v>
      </c>
      <c r="R9" s="16">
        <f t="shared" si="4"/>
        <v>0</v>
      </c>
      <c r="T9" t="s">
        <v>78</v>
      </c>
      <c r="U9" s="16" t="e">
        <f>INT(MaxDia/Increment+0.5)</f>
        <v>#DIV/0!</v>
      </c>
      <c r="X9">
        <v>3</v>
      </c>
      <c r="Y9" s="17" t="e">
        <f aca="true" t="shared" si="22" ref="Y9:Y21">IF(X8&lt;=Index,$Y$5*(Index-X8)^3.8,0)</f>
        <v>#DIV/0!</v>
      </c>
      <c r="Z9" s="17" t="e">
        <f t="shared" si="5"/>
        <v>#VALUE!</v>
      </c>
      <c r="AA9" s="17" t="e">
        <f t="shared" si="6"/>
        <v>#VALUE!</v>
      </c>
      <c r="AB9" s="16" t="e">
        <f t="shared" si="7"/>
        <v>#VALUE!</v>
      </c>
      <c r="AC9" s="16" t="e">
        <f t="shared" si="8"/>
        <v>#VALUE!</v>
      </c>
      <c r="AD9" s="16" t="e">
        <f t="shared" si="9"/>
        <v>#DIV/0!</v>
      </c>
      <c r="AE9" s="16" t="e">
        <f t="shared" si="10"/>
        <v>#DIV/0!</v>
      </c>
      <c r="AF9" s="16" t="e">
        <f t="shared" si="11"/>
        <v>#VALUE!</v>
      </c>
      <c r="AG9" s="16" t="e">
        <f t="shared" si="12"/>
        <v>#VALUE!</v>
      </c>
      <c r="AH9" s="16" t="e">
        <f t="shared" si="13"/>
        <v>#VALUE!</v>
      </c>
      <c r="AI9" s="16" t="e">
        <f t="shared" si="14"/>
        <v>#DIV/0!</v>
      </c>
      <c r="AJ9" s="16" t="e">
        <f aca="true" t="shared" si="23" ref="AJ9:AJ21">IF(X8&lt;=Index,AH8*(Index-X8)^1.6/((Index-X8+1)^1.6+(Index-X8)^1.6),0)</f>
        <v>#DIV/0!</v>
      </c>
      <c r="AK9" s="16" t="e">
        <f t="shared" si="15"/>
        <v>#DIV/0!</v>
      </c>
      <c r="AL9" s="22" t="e">
        <f aca="true" t="shared" si="24" ref="AL9:AL21">IF(X9&lt;=Index,AL$7-(Increment*X8),0)</f>
        <v>#DIV/0!</v>
      </c>
      <c r="AM9" s="16" t="e">
        <f t="shared" si="16"/>
        <v>#DIV/0!</v>
      </c>
      <c r="AN9" s="16" t="e">
        <f aca="true" t="shared" si="25" ref="AN9:AN21">IF(X9&lt;=Index,AK8*(AL9/AD8)*(AL8-AD8)/(AL8-AL9),0)</f>
        <v>#DIV/0!</v>
      </c>
      <c r="AO9" s="16" t="e">
        <f t="shared" si="17"/>
        <v>#DIV/0!</v>
      </c>
      <c r="AP9" s="16" t="e">
        <f>AK30</f>
        <v>#DIV/0!</v>
      </c>
      <c r="AQ9" s="16" t="e">
        <f t="shared" si="18"/>
        <v>#DIV/0!</v>
      </c>
      <c r="AR9" s="17" t="e">
        <f t="shared" si="19"/>
        <v>#DIV/0!</v>
      </c>
      <c r="AS9" s="16" t="e">
        <f t="shared" si="20"/>
        <v>#DIV/0!</v>
      </c>
      <c r="AT9" s="16" t="e">
        <f t="shared" si="21"/>
        <v>#DIV/0!</v>
      </c>
      <c r="AU9" s="16"/>
      <c r="AX9" s="22"/>
      <c r="AY9" s="16" t="e">
        <f>SUM(AY7:AY8)</f>
        <v>#DIV/0!</v>
      </c>
      <c r="BA9">
        <v>90</v>
      </c>
      <c r="BB9">
        <f>BCEFind(Microns,CBMF,$BA9,TRUE)</f>
        <v>590</v>
      </c>
      <c r="BC9">
        <f aca="true" t="shared" si="26" ref="BC9:BC17">BCEFind(Microns,CBMF,BA9,FALSE)</f>
        <v>415</v>
      </c>
      <c r="BD9" s="16">
        <f aca="true" t="shared" si="27" ref="BD9:BD17">BCEFind(CBMF,CBMF,BA9,TRUE)</f>
        <v>91.05000305175781</v>
      </c>
      <c r="BE9" s="16">
        <f aca="true" t="shared" si="28" ref="BE9:BE17">BCEFind(CBMF,CBMF,BA9,FALSE)</f>
        <v>88.58000183105469</v>
      </c>
      <c r="BF9" s="17">
        <f aca="true" t="shared" si="29" ref="BF9:BF17">Interpolate(BB9,BC9,BD9,BE9,BA9)</f>
        <v>508.6365051269531</v>
      </c>
      <c r="BG9">
        <f aca="true" t="shared" si="30" ref="BG9:BG17">BCEFind(Microns,BMD,$BA9,TRUE)</f>
        <v>295</v>
      </c>
      <c r="BH9">
        <f aca="true" t="shared" si="31" ref="BH9:BH17">BCEFind(Microns,BMD,$BA9,FALSE)</f>
        <v>210</v>
      </c>
      <c r="BI9" s="16">
        <f aca="true" t="shared" si="32" ref="BI9:BI17">BCEFind(BMD,BMD,$BA9,TRUE)</f>
        <v>94.27999877929688</v>
      </c>
      <c r="BJ9" s="16">
        <f aca="true" t="shared" si="33" ref="BJ9:BJ17">BCEFind(BMD,BMD,$BA9,FALSE)</f>
        <v>85.06999969482422</v>
      </c>
      <c r="BK9" s="17">
        <f aca="true" t="shared" si="34" ref="BK9:BK17">Interpolate(BG9,BH9,BI9,BJ9,BA9)</f>
        <v>252.9944610595703</v>
      </c>
      <c r="BL9" s="16">
        <f aca="true" t="shared" si="35" ref="BL9:BL17">IF(BK9&lt;&gt;0,BF9/BK9,0)</f>
        <v>2.01046498408196</v>
      </c>
    </row>
    <row r="10" spans="1:64" ht="12.75">
      <c r="A10" t="s">
        <v>24</v>
      </c>
      <c r="C10">
        <f>IF(CTPRE,2,IF(CTPOST,1,3))</f>
        <v>3</v>
      </c>
      <c r="F10">
        <v>210</v>
      </c>
      <c r="G10" s="16">
        <v>71.77</v>
      </c>
      <c r="H10" s="16">
        <v>85.07</v>
      </c>
      <c r="I10" s="16">
        <v>99</v>
      </c>
      <c r="J10" s="16">
        <v>68.7</v>
      </c>
      <c r="K10" s="16">
        <f t="shared" si="0"/>
        <v>71.77</v>
      </c>
      <c r="L10" s="17">
        <f t="shared" si="1"/>
        <v>0</v>
      </c>
      <c r="M10" s="16"/>
      <c r="N10" s="16">
        <f>IF(BSInches,'User Data'!N13*25.4,'User Data'!N13)</f>
        <v>0</v>
      </c>
      <c r="P10" s="16">
        <f t="shared" si="2"/>
        <v>0</v>
      </c>
      <c r="Q10" s="16">
        <f t="shared" si="3"/>
        <v>0</v>
      </c>
      <c r="R10" s="16">
        <f t="shared" si="4"/>
        <v>0</v>
      </c>
      <c r="X10">
        <v>4</v>
      </c>
      <c r="Y10" s="17" t="e">
        <f t="shared" si="22"/>
        <v>#DIV/0!</v>
      </c>
      <c r="Z10" s="17" t="e">
        <f t="shared" si="5"/>
        <v>#VALUE!</v>
      </c>
      <c r="AA10" s="17" t="e">
        <f t="shared" si="6"/>
        <v>#VALUE!</v>
      </c>
      <c r="AB10" s="16" t="e">
        <f t="shared" si="7"/>
        <v>#VALUE!</v>
      </c>
      <c r="AC10" s="16" t="e">
        <f t="shared" si="8"/>
        <v>#VALUE!</v>
      </c>
      <c r="AD10" s="16" t="e">
        <f t="shared" si="9"/>
        <v>#DIV/0!</v>
      </c>
      <c r="AE10" s="16" t="e">
        <f t="shared" si="10"/>
        <v>#DIV/0!</v>
      </c>
      <c r="AF10" s="16" t="e">
        <f t="shared" si="11"/>
        <v>#VALUE!</v>
      </c>
      <c r="AG10" s="16" t="e">
        <f t="shared" si="12"/>
        <v>#VALUE!</v>
      </c>
      <c r="AH10" s="16" t="e">
        <f t="shared" si="13"/>
        <v>#VALUE!</v>
      </c>
      <c r="AI10" s="16" t="e">
        <f t="shared" si="14"/>
        <v>#DIV/0!</v>
      </c>
      <c r="AJ10" s="16" t="e">
        <f t="shared" si="23"/>
        <v>#DIV/0!</v>
      </c>
      <c r="AK10" s="16" t="e">
        <f t="shared" si="15"/>
        <v>#DIV/0!</v>
      </c>
      <c r="AL10" s="22" t="e">
        <f t="shared" si="24"/>
        <v>#DIV/0!</v>
      </c>
      <c r="AM10" s="16" t="e">
        <f t="shared" si="16"/>
        <v>#DIV/0!</v>
      </c>
      <c r="AN10" s="16" t="e">
        <f t="shared" si="25"/>
        <v>#DIV/0!</v>
      </c>
      <c r="AO10" s="16" t="e">
        <f t="shared" si="17"/>
        <v>#DIV/0!</v>
      </c>
      <c r="AP10" s="16" t="e">
        <f>AL31</f>
        <v>#DIV/0!</v>
      </c>
      <c r="AQ10" s="16" t="e">
        <f t="shared" si="18"/>
        <v>#DIV/0!</v>
      </c>
      <c r="AR10" s="17" t="e">
        <f t="shared" si="19"/>
        <v>#DIV/0!</v>
      </c>
      <c r="AS10" s="16" t="e">
        <f t="shared" si="20"/>
        <v>#DIV/0!</v>
      </c>
      <c r="AT10" s="16" t="e">
        <f t="shared" si="21"/>
        <v>#DIV/0!</v>
      </c>
      <c r="AU10" s="16"/>
      <c r="AV10" s="15" t="s">
        <v>109</v>
      </c>
      <c r="AX10" s="22"/>
      <c r="AY10" s="16"/>
      <c r="BA10">
        <v>80</v>
      </c>
      <c r="BB10">
        <f aca="true" t="shared" si="36" ref="BB10:BB17">BCEFind(Microns,CBMF,BA10,TRUE)</f>
        <v>295</v>
      </c>
      <c r="BC10">
        <f t="shared" si="26"/>
        <v>210</v>
      </c>
      <c r="BD10" s="16">
        <f t="shared" si="27"/>
        <v>81.2699966430664</v>
      </c>
      <c r="BE10" s="16">
        <f t="shared" si="28"/>
        <v>71.7699966430664</v>
      </c>
      <c r="BF10" s="17">
        <f t="shared" si="29"/>
        <v>282.5664367675781</v>
      </c>
      <c r="BG10">
        <f t="shared" si="30"/>
        <v>210</v>
      </c>
      <c r="BH10">
        <f t="shared" si="31"/>
        <v>150</v>
      </c>
      <c r="BI10" s="16">
        <f t="shared" si="32"/>
        <v>85.06999969482422</v>
      </c>
      <c r="BJ10" s="16">
        <f t="shared" si="33"/>
        <v>74.8499984741211</v>
      </c>
      <c r="BK10" s="17">
        <f t="shared" si="34"/>
        <v>178.6744842529297</v>
      </c>
      <c r="BL10" s="16">
        <f t="shared" si="35"/>
        <v>1.5814593670105694</v>
      </c>
    </row>
    <row r="11" spans="1:64" ht="12.75">
      <c r="A11" t="s">
        <v>21</v>
      </c>
      <c r="B11" t="b">
        <v>0</v>
      </c>
      <c r="F11">
        <v>150</v>
      </c>
      <c r="G11" s="16">
        <v>61.19</v>
      </c>
      <c r="H11" s="16">
        <v>74.85</v>
      </c>
      <c r="I11" s="16">
        <v>98.55</v>
      </c>
      <c r="J11" s="16">
        <v>59.95</v>
      </c>
      <c r="K11" s="16">
        <f t="shared" si="0"/>
        <v>61.19</v>
      </c>
      <c r="L11" s="17">
        <f t="shared" si="1"/>
        <v>0</v>
      </c>
      <c r="M11" s="16"/>
      <c r="N11" s="16">
        <f>IF(BSInches,'User Data'!N14*25.4,'User Data'!N14)</f>
        <v>0</v>
      </c>
      <c r="P11" s="16">
        <f t="shared" si="2"/>
        <v>0</v>
      </c>
      <c r="Q11" s="16">
        <f t="shared" si="3"/>
        <v>0</v>
      </c>
      <c r="R11" s="16">
        <f t="shared" si="4"/>
        <v>0</v>
      </c>
      <c r="X11">
        <v>5</v>
      </c>
      <c r="Y11" s="17" t="e">
        <f t="shared" si="22"/>
        <v>#DIV/0!</v>
      </c>
      <c r="Z11" s="17" t="e">
        <f t="shared" si="5"/>
        <v>#VALUE!</v>
      </c>
      <c r="AA11" s="17" t="e">
        <f t="shared" si="6"/>
        <v>#VALUE!</v>
      </c>
      <c r="AB11" s="16" t="e">
        <f t="shared" si="7"/>
        <v>#VALUE!</v>
      </c>
      <c r="AC11" s="16" t="e">
        <f t="shared" si="8"/>
        <v>#VALUE!</v>
      </c>
      <c r="AD11" s="16" t="e">
        <f t="shared" si="9"/>
        <v>#DIV/0!</v>
      </c>
      <c r="AE11" s="16" t="e">
        <f t="shared" si="10"/>
        <v>#DIV/0!</v>
      </c>
      <c r="AF11" s="16" t="e">
        <f t="shared" si="11"/>
        <v>#VALUE!</v>
      </c>
      <c r="AG11" s="16" t="e">
        <f t="shared" si="12"/>
        <v>#VALUE!</v>
      </c>
      <c r="AH11" s="16" t="e">
        <f t="shared" si="13"/>
        <v>#VALUE!</v>
      </c>
      <c r="AI11" s="16" t="e">
        <f t="shared" si="14"/>
        <v>#DIV/0!</v>
      </c>
      <c r="AJ11" s="16" t="e">
        <f t="shared" si="23"/>
        <v>#DIV/0!</v>
      </c>
      <c r="AK11" s="16" t="e">
        <f t="shared" si="15"/>
        <v>#DIV/0!</v>
      </c>
      <c r="AL11" s="22" t="e">
        <f t="shared" si="24"/>
        <v>#DIV/0!</v>
      </c>
      <c r="AM11" s="16" t="e">
        <f t="shared" si="16"/>
        <v>#DIV/0!</v>
      </c>
      <c r="AN11" s="16" t="e">
        <f t="shared" si="25"/>
        <v>#DIV/0!</v>
      </c>
      <c r="AO11" s="16" t="e">
        <f t="shared" si="17"/>
        <v>#DIV/0!</v>
      </c>
      <c r="AP11" s="16" t="e">
        <f>AM32</f>
        <v>#DIV/0!</v>
      </c>
      <c r="AQ11" s="16" t="e">
        <f t="shared" si="18"/>
        <v>#DIV/0!</v>
      </c>
      <c r="AR11" s="17" t="e">
        <f t="shared" si="19"/>
        <v>#DIV/0!</v>
      </c>
      <c r="AS11" s="16" t="e">
        <f t="shared" si="20"/>
        <v>#DIV/0!</v>
      </c>
      <c r="AT11" s="16" t="e">
        <f t="shared" si="21"/>
        <v>#DIV/0!</v>
      </c>
      <c r="AU11" s="16"/>
      <c r="AV11" t="s">
        <v>111</v>
      </c>
      <c r="AX11" s="22" t="e">
        <f>AL7</f>
        <v>#VALUE!</v>
      </c>
      <c r="AY11" s="16" t="e">
        <f>(AR22-(100*AX13))/(AX11+(AX16*AX12)-(1+AX16)*AX13)</f>
        <v>#DIV/0!</v>
      </c>
      <c r="BA11">
        <v>70</v>
      </c>
      <c r="BB11">
        <f t="shared" si="36"/>
        <v>210</v>
      </c>
      <c r="BC11">
        <f t="shared" si="26"/>
        <v>150</v>
      </c>
      <c r="BD11" s="16">
        <f t="shared" si="27"/>
        <v>71.7699966430664</v>
      </c>
      <c r="BE11" s="16">
        <f t="shared" si="28"/>
        <v>61.189998626708984</v>
      </c>
      <c r="BF11" s="17">
        <f t="shared" si="29"/>
        <v>199.22280883789062</v>
      </c>
      <c r="BG11">
        <f t="shared" si="30"/>
        <v>150</v>
      </c>
      <c r="BH11">
        <f t="shared" si="31"/>
        <v>105</v>
      </c>
      <c r="BI11" s="16">
        <f t="shared" si="32"/>
        <v>74.8499984741211</v>
      </c>
      <c r="BJ11" s="16">
        <f t="shared" si="33"/>
        <v>55.150001525878906</v>
      </c>
      <c r="BK11" s="17">
        <f t="shared" si="34"/>
        <v>138.71266174316406</v>
      </c>
      <c r="BL11" s="16">
        <f t="shared" si="35"/>
        <v>1.4362265588037322</v>
      </c>
    </row>
    <row r="12" spans="1:64" ht="12.75">
      <c r="A12" t="s">
        <v>20</v>
      </c>
      <c r="B12" t="b">
        <v>0</v>
      </c>
      <c r="F12">
        <v>105</v>
      </c>
      <c r="G12" s="16">
        <v>46.04</v>
      </c>
      <c r="H12" s="16">
        <v>55.15</v>
      </c>
      <c r="I12" s="16">
        <v>96.04</v>
      </c>
      <c r="J12" s="16">
        <v>31.55</v>
      </c>
      <c r="K12" s="16">
        <f t="shared" si="0"/>
        <v>46.04</v>
      </c>
      <c r="L12" s="17">
        <f t="shared" si="1"/>
        <v>0</v>
      </c>
      <c r="M12" s="16"/>
      <c r="N12" s="16">
        <f>IF(BSInches,'User Data'!N15*25.4,'User Data'!N15)</f>
        <v>0</v>
      </c>
      <c r="P12" s="16">
        <f t="shared" si="2"/>
        <v>0</v>
      </c>
      <c r="Q12" s="16">
        <f t="shared" si="3"/>
        <v>0</v>
      </c>
      <c r="R12" s="16">
        <f t="shared" si="4"/>
        <v>0</v>
      </c>
      <c r="X12">
        <v>6</v>
      </c>
      <c r="Y12" s="17" t="e">
        <f t="shared" si="22"/>
        <v>#DIV/0!</v>
      </c>
      <c r="Z12" s="17" t="e">
        <f t="shared" si="5"/>
        <v>#VALUE!</v>
      </c>
      <c r="AA12" s="17" t="e">
        <f t="shared" si="6"/>
        <v>#VALUE!</v>
      </c>
      <c r="AB12" s="16" t="e">
        <f t="shared" si="7"/>
        <v>#VALUE!</v>
      </c>
      <c r="AC12" s="16" t="e">
        <f t="shared" si="8"/>
        <v>#VALUE!</v>
      </c>
      <c r="AD12" s="16" t="e">
        <f t="shared" si="9"/>
        <v>#DIV/0!</v>
      </c>
      <c r="AE12" s="16" t="e">
        <f t="shared" si="10"/>
        <v>#DIV/0!</v>
      </c>
      <c r="AF12" s="16" t="e">
        <f t="shared" si="11"/>
        <v>#VALUE!</v>
      </c>
      <c r="AG12" s="16" t="e">
        <f t="shared" si="12"/>
        <v>#VALUE!</v>
      </c>
      <c r="AH12" s="16" t="e">
        <f t="shared" si="13"/>
        <v>#VALUE!</v>
      </c>
      <c r="AI12" s="16" t="e">
        <f t="shared" si="14"/>
        <v>#DIV/0!</v>
      </c>
      <c r="AJ12" s="16" t="e">
        <f t="shared" si="23"/>
        <v>#DIV/0!</v>
      </c>
      <c r="AK12" s="16" t="e">
        <f t="shared" si="15"/>
        <v>#DIV/0!</v>
      </c>
      <c r="AL12" s="22" t="e">
        <f t="shared" si="24"/>
        <v>#DIV/0!</v>
      </c>
      <c r="AM12" s="16" t="e">
        <f t="shared" si="16"/>
        <v>#DIV/0!</v>
      </c>
      <c r="AN12" s="16" t="e">
        <f t="shared" si="25"/>
        <v>#DIV/0!</v>
      </c>
      <c r="AO12" s="16" t="e">
        <f t="shared" si="17"/>
        <v>#DIV/0!</v>
      </c>
      <c r="AP12" s="16" t="e">
        <f>AN33</f>
        <v>#DIV/0!</v>
      </c>
      <c r="AQ12" s="16" t="e">
        <f t="shared" si="18"/>
        <v>#DIV/0!</v>
      </c>
      <c r="AR12" s="17" t="e">
        <f t="shared" si="19"/>
        <v>#DIV/0!</v>
      </c>
      <c r="AS12" s="16" t="e">
        <f t="shared" si="20"/>
        <v>#DIV/0!</v>
      </c>
      <c r="AT12" s="16" t="e">
        <f t="shared" si="21"/>
        <v>#DIV/0!</v>
      </c>
      <c r="AU12" s="16"/>
      <c r="AV12" t="s">
        <v>108</v>
      </c>
      <c r="AX12" s="22" t="e">
        <f>BCEFind(AvailSizes,AvailSizes,0.75*AL7,FALSE)</f>
        <v>#VALUE!</v>
      </c>
      <c r="AY12" s="16" t="e">
        <f>AX12*AX16</f>
        <v>#VALUE!</v>
      </c>
      <c r="BA12">
        <v>60</v>
      </c>
      <c r="BB12">
        <f t="shared" si="36"/>
        <v>150</v>
      </c>
      <c r="BC12">
        <f t="shared" si="26"/>
        <v>105</v>
      </c>
      <c r="BD12" s="16">
        <f t="shared" si="27"/>
        <v>61.189998626708984</v>
      </c>
      <c r="BE12" s="16">
        <f t="shared" si="28"/>
        <v>46.040000915527344</v>
      </c>
      <c r="BF12" s="17">
        <f t="shared" si="29"/>
        <v>146.35153198242188</v>
      </c>
      <c r="BG12">
        <f t="shared" si="30"/>
        <v>150</v>
      </c>
      <c r="BH12">
        <f t="shared" si="31"/>
        <v>105</v>
      </c>
      <c r="BI12" s="16">
        <f t="shared" si="32"/>
        <v>74.8499984741211</v>
      </c>
      <c r="BJ12" s="16">
        <f t="shared" si="33"/>
        <v>55.150001525878906</v>
      </c>
      <c r="BK12" s="17">
        <f t="shared" si="34"/>
        <v>115.86087799072266</v>
      </c>
      <c r="BL12" s="16">
        <f t="shared" si="35"/>
        <v>1.2631660878156015</v>
      </c>
    </row>
    <row r="13" spans="1:64" ht="12.75">
      <c r="A13" t="s">
        <v>29</v>
      </c>
      <c r="B13" t="b">
        <v>0</v>
      </c>
      <c r="F13">
        <v>75</v>
      </c>
      <c r="G13" s="16">
        <v>36.72</v>
      </c>
      <c r="H13" s="16">
        <v>43.8</v>
      </c>
      <c r="I13" s="16">
        <v>85.57</v>
      </c>
      <c r="J13" s="16">
        <v>22.1</v>
      </c>
      <c r="K13" s="16">
        <f t="shared" si="0"/>
        <v>36.72</v>
      </c>
      <c r="L13" s="17">
        <f t="shared" si="1"/>
        <v>0</v>
      </c>
      <c r="M13" s="16"/>
      <c r="N13" s="16">
        <f>IF(BSInches,'User Data'!N16*25.4,'User Data'!N16)</f>
        <v>0</v>
      </c>
      <c r="P13" s="16">
        <f t="shared" si="2"/>
        <v>0</v>
      </c>
      <c r="Q13" s="16">
        <f t="shared" si="3"/>
        <v>0</v>
      </c>
      <c r="R13" s="16">
        <f t="shared" si="4"/>
        <v>0</v>
      </c>
      <c r="X13">
        <v>7</v>
      </c>
      <c r="Y13" s="17" t="e">
        <f t="shared" si="22"/>
        <v>#DIV/0!</v>
      </c>
      <c r="Z13" s="17" t="e">
        <f t="shared" si="5"/>
        <v>#VALUE!</v>
      </c>
      <c r="AA13" s="17" t="e">
        <f t="shared" si="6"/>
        <v>#VALUE!</v>
      </c>
      <c r="AB13" s="16" t="e">
        <f t="shared" si="7"/>
        <v>#VALUE!</v>
      </c>
      <c r="AC13" s="16" t="e">
        <f t="shared" si="8"/>
        <v>#VALUE!</v>
      </c>
      <c r="AD13" s="16" t="e">
        <f t="shared" si="9"/>
        <v>#DIV/0!</v>
      </c>
      <c r="AE13" s="16" t="e">
        <f t="shared" si="10"/>
        <v>#DIV/0!</v>
      </c>
      <c r="AF13" s="16" t="e">
        <f t="shared" si="11"/>
        <v>#VALUE!</v>
      </c>
      <c r="AG13" s="16" t="e">
        <f t="shared" si="12"/>
        <v>#VALUE!</v>
      </c>
      <c r="AH13" s="16" t="e">
        <f t="shared" si="13"/>
        <v>#VALUE!</v>
      </c>
      <c r="AI13" s="16" t="e">
        <f t="shared" si="14"/>
        <v>#DIV/0!</v>
      </c>
      <c r="AJ13" s="16" t="e">
        <f t="shared" si="23"/>
        <v>#DIV/0!</v>
      </c>
      <c r="AK13" s="16" t="e">
        <f t="shared" si="15"/>
        <v>#DIV/0!</v>
      </c>
      <c r="AL13" s="22" t="e">
        <f t="shared" si="24"/>
        <v>#DIV/0!</v>
      </c>
      <c r="AM13" s="16" t="e">
        <f t="shared" si="16"/>
        <v>#DIV/0!</v>
      </c>
      <c r="AN13" s="16" t="e">
        <f t="shared" si="25"/>
        <v>#DIV/0!</v>
      </c>
      <c r="AO13" s="16" t="e">
        <f t="shared" si="17"/>
        <v>#DIV/0!</v>
      </c>
      <c r="AP13" s="16" t="e">
        <f>AO34</f>
        <v>#DIV/0!</v>
      </c>
      <c r="AQ13" s="16" t="e">
        <f t="shared" si="18"/>
        <v>#DIV/0!</v>
      </c>
      <c r="AR13" s="17" t="e">
        <f t="shared" si="19"/>
        <v>#DIV/0!</v>
      </c>
      <c r="AS13" s="16" t="e">
        <f t="shared" si="20"/>
        <v>#DIV/0!</v>
      </c>
      <c r="AT13" s="16" t="e">
        <f t="shared" si="21"/>
        <v>#DIV/0!</v>
      </c>
      <c r="AU13" s="16"/>
      <c r="AV13" t="s">
        <v>110</v>
      </c>
      <c r="AX13" s="22" t="e">
        <f>BCEFind(AvailSizes,AvailSizes,0.5*AL7,FALSE)</f>
        <v>#VALUE!</v>
      </c>
      <c r="AY13" s="16" t="e">
        <f>100-(AY12+AY11)</f>
        <v>#VALUE!</v>
      </c>
      <c r="BA13">
        <v>50</v>
      </c>
      <c r="BB13">
        <f t="shared" si="36"/>
        <v>150</v>
      </c>
      <c r="BC13">
        <f t="shared" si="26"/>
        <v>105</v>
      </c>
      <c r="BD13" s="16">
        <f t="shared" si="27"/>
        <v>61.189998626708984</v>
      </c>
      <c r="BE13" s="16">
        <f t="shared" si="28"/>
        <v>46.040000915527344</v>
      </c>
      <c r="BF13" s="17">
        <f t="shared" si="29"/>
        <v>116.44454193115234</v>
      </c>
      <c r="BG13">
        <f t="shared" si="30"/>
        <v>105</v>
      </c>
      <c r="BH13">
        <f t="shared" si="31"/>
        <v>75</v>
      </c>
      <c r="BI13" s="16">
        <f t="shared" si="32"/>
        <v>55.150001525878906</v>
      </c>
      <c r="BJ13" s="16">
        <f t="shared" si="33"/>
        <v>43.79999923706055</v>
      </c>
      <c r="BK13" s="17">
        <f t="shared" si="34"/>
        <v>90.99529266357422</v>
      </c>
      <c r="BL13" s="16">
        <f t="shared" si="35"/>
        <v>1.2796765472436966</v>
      </c>
    </row>
    <row r="14" spans="6:64" ht="12.75">
      <c r="F14">
        <v>53</v>
      </c>
      <c r="G14" s="16">
        <v>29.04</v>
      </c>
      <c r="H14" s="16">
        <v>34.25</v>
      </c>
      <c r="I14" s="16">
        <v>72.2</v>
      </c>
      <c r="J14" s="16">
        <v>15.8</v>
      </c>
      <c r="K14" s="16">
        <f t="shared" si="0"/>
        <v>29.04</v>
      </c>
      <c r="L14" s="17">
        <f t="shared" si="1"/>
        <v>0</v>
      </c>
      <c r="M14" s="16"/>
      <c r="N14" s="16">
        <f>IF(BSInches,'User Data'!N17*25.4,'User Data'!N17)</f>
        <v>0</v>
      </c>
      <c r="P14" s="16">
        <f t="shared" si="2"/>
        <v>0</v>
      </c>
      <c r="Q14" s="16">
        <f t="shared" si="3"/>
        <v>0</v>
      </c>
      <c r="R14" s="16">
        <f t="shared" si="4"/>
        <v>0</v>
      </c>
      <c r="X14">
        <v>8</v>
      </c>
      <c r="Y14" s="17" t="e">
        <f t="shared" si="22"/>
        <v>#DIV/0!</v>
      </c>
      <c r="Z14" s="17" t="e">
        <f t="shared" si="5"/>
        <v>#VALUE!</v>
      </c>
      <c r="AA14" s="17" t="e">
        <f t="shared" si="6"/>
        <v>#VALUE!</v>
      </c>
      <c r="AB14" s="16" t="e">
        <f t="shared" si="7"/>
        <v>#VALUE!</v>
      </c>
      <c r="AC14" s="16" t="e">
        <f t="shared" si="8"/>
        <v>#VALUE!</v>
      </c>
      <c r="AD14" s="16" t="e">
        <f t="shared" si="9"/>
        <v>#DIV/0!</v>
      </c>
      <c r="AE14" s="16" t="e">
        <f t="shared" si="10"/>
        <v>#DIV/0!</v>
      </c>
      <c r="AF14" s="16" t="e">
        <f t="shared" si="11"/>
        <v>#VALUE!</v>
      </c>
      <c r="AG14" s="16" t="e">
        <f t="shared" si="12"/>
        <v>#VALUE!</v>
      </c>
      <c r="AH14" s="16" t="e">
        <f t="shared" si="13"/>
        <v>#VALUE!</v>
      </c>
      <c r="AI14" s="16" t="e">
        <f t="shared" si="14"/>
        <v>#DIV/0!</v>
      </c>
      <c r="AJ14" s="16" t="e">
        <f t="shared" si="23"/>
        <v>#DIV/0!</v>
      </c>
      <c r="AK14" s="16" t="e">
        <f t="shared" si="15"/>
        <v>#DIV/0!</v>
      </c>
      <c r="AL14" s="22" t="e">
        <f t="shared" si="24"/>
        <v>#DIV/0!</v>
      </c>
      <c r="AM14" s="16" t="e">
        <f t="shared" si="16"/>
        <v>#DIV/0!</v>
      </c>
      <c r="AN14" s="16" t="e">
        <f t="shared" si="25"/>
        <v>#DIV/0!</v>
      </c>
      <c r="AO14" s="16" t="e">
        <f t="shared" si="17"/>
        <v>#DIV/0!</v>
      </c>
      <c r="AP14" s="16" t="e">
        <f>AP35</f>
        <v>#DIV/0!</v>
      </c>
      <c r="AQ14" s="16" t="e">
        <f t="shared" si="18"/>
        <v>#DIV/0!</v>
      </c>
      <c r="AR14" s="17" t="e">
        <f t="shared" si="19"/>
        <v>#DIV/0!</v>
      </c>
      <c r="AS14" s="16" t="e">
        <f t="shared" si="20"/>
        <v>#DIV/0!</v>
      </c>
      <c r="AT14" s="16" t="e">
        <f t="shared" si="21"/>
        <v>#DIV/0!</v>
      </c>
      <c r="AU14" s="16"/>
      <c r="AY14" s="16" t="e">
        <f>SUM(AY11:AY13)</f>
        <v>#DIV/0!</v>
      </c>
      <c r="BA14">
        <v>40</v>
      </c>
      <c r="BB14">
        <f t="shared" si="36"/>
        <v>105</v>
      </c>
      <c r="BC14">
        <f t="shared" si="26"/>
        <v>75</v>
      </c>
      <c r="BD14" s="16">
        <f t="shared" si="27"/>
        <v>46.040000915527344</v>
      </c>
      <c r="BE14" s="16">
        <f t="shared" si="28"/>
        <v>36.720001220703125</v>
      </c>
      <c r="BF14" s="17">
        <f t="shared" si="29"/>
        <v>85.17955780029297</v>
      </c>
      <c r="BG14">
        <f t="shared" si="30"/>
        <v>75</v>
      </c>
      <c r="BH14">
        <f t="shared" si="31"/>
        <v>53</v>
      </c>
      <c r="BI14" s="16">
        <f t="shared" si="32"/>
        <v>43.79999923706055</v>
      </c>
      <c r="BJ14" s="16">
        <f t="shared" si="33"/>
        <v>34.25</v>
      </c>
      <c r="BK14" s="17">
        <f t="shared" si="34"/>
        <v>65.98140716552734</v>
      </c>
      <c r="BL14" s="16">
        <f t="shared" si="35"/>
        <v>1.2909630373084238</v>
      </c>
    </row>
    <row r="15" spans="1:64" ht="12.75">
      <c r="A15" t="s">
        <v>30</v>
      </c>
      <c r="C15">
        <f>IF(DTCPP,1,IF(DTCPR,2,3))</f>
        <v>3</v>
      </c>
      <c r="F15">
        <v>45</v>
      </c>
      <c r="G15" s="16">
        <v>26.83</v>
      </c>
      <c r="H15" s="16">
        <v>30.62</v>
      </c>
      <c r="I15" s="16">
        <v>68.27</v>
      </c>
      <c r="J15" s="16">
        <v>13.88</v>
      </c>
      <c r="K15" s="16">
        <f t="shared" si="0"/>
        <v>26.83</v>
      </c>
      <c r="L15" s="17">
        <f t="shared" si="1"/>
        <v>0</v>
      </c>
      <c r="M15" s="16"/>
      <c r="N15" s="16">
        <f>IF(BSInches,'User Data'!N18*25.4,'User Data'!N18)</f>
        <v>0</v>
      </c>
      <c r="P15" s="16">
        <f t="shared" si="2"/>
        <v>0</v>
      </c>
      <c r="Q15" s="16">
        <f t="shared" si="3"/>
        <v>0</v>
      </c>
      <c r="R15" s="16">
        <f t="shared" si="4"/>
        <v>0</v>
      </c>
      <c r="X15">
        <v>9</v>
      </c>
      <c r="Y15" s="17" t="e">
        <f t="shared" si="22"/>
        <v>#DIV/0!</v>
      </c>
      <c r="Z15" s="17" t="e">
        <f t="shared" si="5"/>
        <v>#VALUE!</v>
      </c>
      <c r="AA15" s="17" t="e">
        <f t="shared" si="6"/>
        <v>#VALUE!</v>
      </c>
      <c r="AB15" s="16" t="e">
        <f t="shared" si="7"/>
        <v>#VALUE!</v>
      </c>
      <c r="AC15" s="16" t="e">
        <f t="shared" si="8"/>
        <v>#VALUE!</v>
      </c>
      <c r="AD15" s="16" t="e">
        <f t="shared" si="9"/>
        <v>#DIV/0!</v>
      </c>
      <c r="AE15" s="16" t="e">
        <f t="shared" si="10"/>
        <v>#DIV/0!</v>
      </c>
      <c r="AF15" s="16" t="e">
        <f t="shared" si="11"/>
        <v>#VALUE!</v>
      </c>
      <c r="AG15" s="16" t="e">
        <f t="shared" si="12"/>
        <v>#VALUE!</v>
      </c>
      <c r="AH15" s="16" t="e">
        <f t="shared" si="13"/>
        <v>#VALUE!</v>
      </c>
      <c r="AI15" s="16" t="e">
        <f t="shared" si="14"/>
        <v>#DIV/0!</v>
      </c>
      <c r="AJ15" s="16" t="e">
        <f t="shared" si="23"/>
        <v>#DIV/0!</v>
      </c>
      <c r="AK15" s="16" t="e">
        <f t="shared" si="15"/>
        <v>#DIV/0!</v>
      </c>
      <c r="AL15" s="22" t="e">
        <f t="shared" si="24"/>
        <v>#DIV/0!</v>
      </c>
      <c r="AM15" s="16" t="e">
        <f t="shared" si="16"/>
        <v>#DIV/0!</v>
      </c>
      <c r="AN15" s="16" t="e">
        <f t="shared" si="25"/>
        <v>#DIV/0!</v>
      </c>
      <c r="AO15" s="16" t="e">
        <f t="shared" si="17"/>
        <v>#DIV/0!</v>
      </c>
      <c r="AP15" s="16" t="e">
        <f>AQ36</f>
        <v>#DIV/0!</v>
      </c>
      <c r="AQ15" s="16" t="e">
        <f t="shared" si="18"/>
        <v>#DIV/0!</v>
      </c>
      <c r="AR15" s="17" t="e">
        <f t="shared" si="19"/>
        <v>#DIV/0!</v>
      </c>
      <c r="AS15" s="16" t="e">
        <f t="shared" si="20"/>
        <v>#DIV/0!</v>
      </c>
      <c r="AT15" s="16" t="e">
        <f t="shared" si="21"/>
        <v>#DIV/0!</v>
      </c>
      <c r="AU15" s="16"/>
      <c r="AV15" t="s">
        <v>115</v>
      </c>
      <c r="AX15" s="22" t="e">
        <f>BCEFind(AQ7:AQ21,AL7:AL21,AX13,TRUE)</f>
        <v>#VALUE!</v>
      </c>
      <c r="AY15" t="s">
        <v>116</v>
      </c>
      <c r="BA15">
        <v>30</v>
      </c>
      <c r="BB15">
        <f t="shared" si="36"/>
        <v>75</v>
      </c>
      <c r="BC15">
        <f t="shared" si="26"/>
        <v>53</v>
      </c>
      <c r="BD15" s="16">
        <f t="shared" si="27"/>
        <v>36.720001220703125</v>
      </c>
      <c r="BE15" s="16">
        <f t="shared" si="28"/>
        <v>29.040000915527344</v>
      </c>
      <c r="BF15" s="17">
        <f t="shared" si="29"/>
        <v>55.61288070678711</v>
      </c>
      <c r="BG15">
        <f t="shared" si="30"/>
        <v>45</v>
      </c>
      <c r="BH15">
        <f t="shared" si="31"/>
        <v>38</v>
      </c>
      <c r="BI15" s="16">
        <f t="shared" si="32"/>
        <v>30.6200008392334</v>
      </c>
      <c r="BJ15" s="16">
        <f t="shared" si="33"/>
        <v>28.8799991607666</v>
      </c>
      <c r="BK15" s="17">
        <f t="shared" si="34"/>
        <v>42.41680908203125</v>
      </c>
      <c r="BL15" s="16">
        <f t="shared" si="35"/>
        <v>1.3111047697915124</v>
      </c>
    </row>
    <row r="16" spans="1:64" ht="12.75">
      <c r="A16" t="s">
        <v>31</v>
      </c>
      <c r="B16" t="b">
        <v>0</v>
      </c>
      <c r="F16">
        <v>38</v>
      </c>
      <c r="G16" s="16">
        <v>23.99</v>
      </c>
      <c r="H16" s="16">
        <v>28.88</v>
      </c>
      <c r="I16" s="16">
        <v>61.76</v>
      </c>
      <c r="J16" s="16">
        <v>12.58</v>
      </c>
      <c r="K16" s="16">
        <f t="shared" si="0"/>
        <v>23.99</v>
      </c>
      <c r="L16" s="17">
        <f t="shared" si="1"/>
        <v>0</v>
      </c>
      <c r="M16" s="16"/>
      <c r="N16" s="16">
        <f>IF(BSInches,'User Data'!N19*25.4,'User Data'!N19)</f>
        <v>0</v>
      </c>
      <c r="P16" s="16">
        <f t="shared" si="2"/>
        <v>0</v>
      </c>
      <c r="Q16" s="16">
        <f t="shared" si="3"/>
        <v>0</v>
      </c>
      <c r="R16" s="16">
        <f t="shared" si="4"/>
        <v>0</v>
      </c>
      <c r="X16">
        <v>10</v>
      </c>
      <c r="Y16" s="17" t="e">
        <f t="shared" si="22"/>
        <v>#DIV/0!</v>
      </c>
      <c r="Z16" s="17" t="e">
        <f t="shared" si="5"/>
        <v>#VALUE!</v>
      </c>
      <c r="AA16" s="17" t="e">
        <f t="shared" si="6"/>
        <v>#VALUE!</v>
      </c>
      <c r="AB16" s="16" t="e">
        <f t="shared" si="7"/>
        <v>#VALUE!</v>
      </c>
      <c r="AC16" s="16" t="e">
        <f t="shared" si="8"/>
        <v>#VALUE!</v>
      </c>
      <c r="AD16" s="16" t="e">
        <f t="shared" si="9"/>
        <v>#DIV/0!</v>
      </c>
      <c r="AE16" s="16" t="e">
        <f t="shared" si="10"/>
        <v>#DIV/0!</v>
      </c>
      <c r="AF16" s="16" t="e">
        <f t="shared" si="11"/>
        <v>#VALUE!</v>
      </c>
      <c r="AG16" s="16" t="e">
        <f t="shared" si="12"/>
        <v>#VALUE!</v>
      </c>
      <c r="AH16" s="16" t="e">
        <f t="shared" si="13"/>
        <v>#VALUE!</v>
      </c>
      <c r="AI16" s="16" t="e">
        <f t="shared" si="14"/>
        <v>#DIV/0!</v>
      </c>
      <c r="AJ16" s="16" t="e">
        <f t="shared" si="23"/>
        <v>#DIV/0!</v>
      </c>
      <c r="AK16" s="16" t="e">
        <f t="shared" si="15"/>
        <v>#DIV/0!</v>
      </c>
      <c r="AL16" s="22" t="e">
        <f t="shared" si="24"/>
        <v>#DIV/0!</v>
      </c>
      <c r="AM16" s="16" t="e">
        <f t="shared" si="16"/>
        <v>#DIV/0!</v>
      </c>
      <c r="AN16" s="16" t="e">
        <f t="shared" si="25"/>
        <v>#DIV/0!</v>
      </c>
      <c r="AO16" s="16" t="e">
        <f t="shared" si="17"/>
        <v>#DIV/0!</v>
      </c>
      <c r="AP16" s="16" t="e">
        <f>AR37</f>
        <v>#DIV/0!</v>
      </c>
      <c r="AQ16" s="16" t="e">
        <f t="shared" si="18"/>
        <v>#DIV/0!</v>
      </c>
      <c r="AR16" s="17" t="e">
        <f t="shared" si="19"/>
        <v>#DIV/0!</v>
      </c>
      <c r="AS16" s="16" t="e">
        <f t="shared" si="20"/>
        <v>#DIV/0!</v>
      </c>
      <c r="AT16" s="16" t="e">
        <f t="shared" si="21"/>
        <v>#DIV/0!</v>
      </c>
      <c r="AU16" s="16"/>
      <c r="AX16" s="16" t="e">
        <f>AS22/AT22</f>
        <v>#DIV/0!</v>
      </c>
      <c r="BA16">
        <v>20</v>
      </c>
      <c r="BB16">
        <f t="shared" si="36"/>
        <v>38</v>
      </c>
      <c r="BC16">
        <f t="shared" si="26"/>
        <v>25</v>
      </c>
      <c r="BD16" s="16">
        <f t="shared" si="27"/>
        <v>23.989999771118164</v>
      </c>
      <c r="BE16" s="16">
        <f t="shared" si="28"/>
        <v>0</v>
      </c>
      <c r="BF16" s="17">
        <f t="shared" si="29"/>
        <v>0</v>
      </c>
      <c r="BG16">
        <f t="shared" si="30"/>
        <v>38</v>
      </c>
      <c r="BH16">
        <f t="shared" si="31"/>
        <v>25</v>
      </c>
      <c r="BI16" s="16">
        <f t="shared" si="32"/>
        <v>28.8799991607666</v>
      </c>
      <c r="BJ16" s="16">
        <f t="shared" si="33"/>
        <v>0</v>
      </c>
      <c r="BK16" s="17">
        <f t="shared" si="34"/>
        <v>0</v>
      </c>
      <c r="BL16" s="16">
        <f t="shared" si="35"/>
        <v>0</v>
      </c>
    </row>
    <row r="17" spans="1:64" ht="12.75">
      <c r="A17" t="s">
        <v>32</v>
      </c>
      <c r="B17" t="b">
        <v>0</v>
      </c>
      <c r="F17">
        <v>25</v>
      </c>
      <c r="G17" s="16">
        <v>0</v>
      </c>
      <c r="H17" s="16">
        <v>0</v>
      </c>
      <c r="I17" s="16">
        <v>0</v>
      </c>
      <c r="J17" s="16">
        <v>0</v>
      </c>
      <c r="K17" s="16">
        <f t="shared" si="0"/>
        <v>0</v>
      </c>
      <c r="L17" s="17">
        <f t="shared" si="1"/>
        <v>0</v>
      </c>
      <c r="M17" s="16"/>
      <c r="N17" s="16">
        <f>IF(BSInches,'User Data'!N20*25.4,'User Data'!N20)</f>
        <v>0</v>
      </c>
      <c r="P17" s="16">
        <f t="shared" si="2"/>
        <v>0</v>
      </c>
      <c r="Q17" s="16">
        <f t="shared" si="3"/>
        <v>0</v>
      </c>
      <c r="R17" s="16">
        <f t="shared" si="4"/>
        <v>0</v>
      </c>
      <c r="X17">
        <v>11</v>
      </c>
      <c r="Y17" s="17" t="e">
        <f t="shared" si="22"/>
        <v>#DIV/0!</v>
      </c>
      <c r="Z17" s="17" t="e">
        <f t="shared" si="5"/>
        <v>#VALUE!</v>
      </c>
      <c r="AA17" s="17" t="e">
        <f t="shared" si="6"/>
        <v>#VALUE!</v>
      </c>
      <c r="AB17" s="16" t="e">
        <f t="shared" si="7"/>
        <v>#VALUE!</v>
      </c>
      <c r="AC17" s="16" t="e">
        <f t="shared" si="8"/>
        <v>#VALUE!</v>
      </c>
      <c r="AD17" s="16" t="e">
        <f t="shared" si="9"/>
        <v>#DIV/0!</v>
      </c>
      <c r="AE17" s="16" t="e">
        <f t="shared" si="10"/>
        <v>#DIV/0!</v>
      </c>
      <c r="AF17" s="16" t="e">
        <f t="shared" si="11"/>
        <v>#VALUE!</v>
      </c>
      <c r="AG17" s="16" t="e">
        <f t="shared" si="12"/>
        <v>#VALUE!</v>
      </c>
      <c r="AH17" s="16" t="e">
        <f t="shared" si="13"/>
        <v>#VALUE!</v>
      </c>
      <c r="AI17" s="16" t="e">
        <f t="shared" si="14"/>
        <v>#DIV/0!</v>
      </c>
      <c r="AJ17" s="16" t="e">
        <f t="shared" si="23"/>
        <v>#DIV/0!</v>
      </c>
      <c r="AK17" s="16" t="e">
        <f t="shared" si="15"/>
        <v>#DIV/0!</v>
      </c>
      <c r="AL17" s="22" t="e">
        <f t="shared" si="24"/>
        <v>#DIV/0!</v>
      </c>
      <c r="AM17" s="16" t="e">
        <f t="shared" si="16"/>
        <v>#DIV/0!</v>
      </c>
      <c r="AN17" s="16" t="e">
        <f t="shared" si="25"/>
        <v>#DIV/0!</v>
      </c>
      <c r="AO17" s="16" t="e">
        <f t="shared" si="17"/>
        <v>#DIV/0!</v>
      </c>
      <c r="AP17" s="16" t="e">
        <f>AS38</f>
        <v>#DIV/0!</v>
      </c>
      <c r="AQ17" s="16" t="e">
        <f t="shared" si="18"/>
        <v>#DIV/0!</v>
      </c>
      <c r="AR17" s="17" t="e">
        <f t="shared" si="19"/>
        <v>#DIV/0!</v>
      </c>
      <c r="AS17" s="16" t="e">
        <f t="shared" si="20"/>
        <v>#DIV/0!</v>
      </c>
      <c r="AT17" s="16" t="e">
        <f t="shared" si="21"/>
        <v>#DIV/0!</v>
      </c>
      <c r="AU17" s="16"/>
      <c r="BA17">
        <v>10</v>
      </c>
      <c r="BB17">
        <f t="shared" si="36"/>
        <v>38</v>
      </c>
      <c r="BC17">
        <f t="shared" si="26"/>
        <v>25</v>
      </c>
      <c r="BD17" s="16">
        <f t="shared" si="27"/>
        <v>23.989999771118164</v>
      </c>
      <c r="BE17" s="16">
        <f t="shared" si="28"/>
        <v>0</v>
      </c>
      <c r="BF17" s="17">
        <f t="shared" si="29"/>
        <v>0</v>
      </c>
      <c r="BG17">
        <f t="shared" si="30"/>
        <v>38</v>
      </c>
      <c r="BH17">
        <f t="shared" si="31"/>
        <v>25</v>
      </c>
      <c r="BI17" s="16">
        <f t="shared" si="32"/>
        <v>28.8799991607666</v>
      </c>
      <c r="BJ17" s="16">
        <f t="shared" si="33"/>
        <v>0</v>
      </c>
      <c r="BK17" s="17">
        <f t="shared" si="34"/>
        <v>0</v>
      </c>
      <c r="BL17" s="16">
        <f t="shared" si="35"/>
        <v>0</v>
      </c>
    </row>
    <row r="18" spans="1:47" ht="12.75">
      <c r="A18" t="s">
        <v>33</v>
      </c>
      <c r="B18" t="b">
        <v>0</v>
      </c>
      <c r="K18" s="16">
        <f t="shared" si="0"/>
        <v>0</v>
      </c>
      <c r="L18" s="17">
        <f t="shared" si="1"/>
        <v>0</v>
      </c>
      <c r="M18" s="16"/>
      <c r="N18" s="16">
        <f>IF(BSInches,'User Data'!N21*25.4,'User Data'!N21)</f>
        <v>0</v>
      </c>
      <c r="P18" s="16">
        <f t="shared" si="2"/>
        <v>0</v>
      </c>
      <c r="Q18" s="16">
        <f t="shared" si="3"/>
        <v>0</v>
      </c>
      <c r="R18" s="16">
        <f t="shared" si="4"/>
        <v>0</v>
      </c>
      <c r="X18">
        <v>12</v>
      </c>
      <c r="Y18" s="17" t="e">
        <f t="shared" si="22"/>
        <v>#DIV/0!</v>
      </c>
      <c r="Z18" s="17" t="e">
        <f t="shared" si="5"/>
        <v>#VALUE!</v>
      </c>
      <c r="AA18" s="17" t="e">
        <f t="shared" si="6"/>
        <v>#VALUE!</v>
      </c>
      <c r="AB18" s="16" t="e">
        <f t="shared" si="7"/>
        <v>#VALUE!</v>
      </c>
      <c r="AC18" s="16" t="e">
        <f t="shared" si="8"/>
        <v>#VALUE!</v>
      </c>
      <c r="AD18" s="16" t="e">
        <f t="shared" si="9"/>
        <v>#DIV/0!</v>
      </c>
      <c r="AE18" s="16" t="e">
        <f t="shared" si="10"/>
        <v>#DIV/0!</v>
      </c>
      <c r="AF18" s="16" t="e">
        <f t="shared" si="11"/>
        <v>#VALUE!</v>
      </c>
      <c r="AG18" s="16" t="e">
        <f t="shared" si="12"/>
        <v>#VALUE!</v>
      </c>
      <c r="AH18" s="16" t="e">
        <f t="shared" si="13"/>
        <v>#VALUE!</v>
      </c>
      <c r="AI18" s="16" t="e">
        <f t="shared" si="14"/>
        <v>#DIV/0!</v>
      </c>
      <c r="AJ18" s="16" t="e">
        <f t="shared" si="23"/>
        <v>#DIV/0!</v>
      </c>
      <c r="AK18" s="16" t="e">
        <f t="shared" si="15"/>
        <v>#DIV/0!</v>
      </c>
      <c r="AL18" s="22" t="e">
        <f t="shared" si="24"/>
        <v>#DIV/0!</v>
      </c>
      <c r="AM18" s="16" t="e">
        <f t="shared" si="16"/>
        <v>#DIV/0!</v>
      </c>
      <c r="AN18" s="16" t="e">
        <f t="shared" si="25"/>
        <v>#DIV/0!</v>
      </c>
      <c r="AO18" s="16" t="e">
        <f t="shared" si="17"/>
        <v>#DIV/0!</v>
      </c>
      <c r="AP18" s="16" t="e">
        <f>AT39</f>
        <v>#DIV/0!</v>
      </c>
      <c r="AQ18" s="16" t="e">
        <f t="shared" si="18"/>
        <v>#DIV/0!</v>
      </c>
      <c r="AR18" s="17" t="e">
        <f t="shared" si="19"/>
        <v>#DIV/0!</v>
      </c>
      <c r="AS18" s="16" t="e">
        <f t="shared" si="20"/>
        <v>#DIV/0!</v>
      </c>
      <c r="AT18" s="16" t="e">
        <f t="shared" si="21"/>
        <v>#DIV/0!</v>
      </c>
      <c r="AU18" s="16"/>
    </row>
    <row r="19" spans="6:47" ht="12.75">
      <c r="K19" s="16">
        <f t="shared" si="0"/>
        <v>0</v>
      </c>
      <c r="L19" s="17">
        <f t="shared" si="1"/>
        <v>0</v>
      </c>
      <c r="M19" s="16"/>
      <c r="N19" s="16">
        <f>IF(BSInches,'User Data'!N22*25.4,'User Data'!N22)</f>
        <v>0</v>
      </c>
      <c r="P19" s="16">
        <f t="shared" si="2"/>
        <v>0</v>
      </c>
      <c r="Q19" s="16">
        <f t="shared" si="3"/>
        <v>0</v>
      </c>
      <c r="R19" s="16">
        <f t="shared" si="4"/>
        <v>0</v>
      </c>
      <c r="X19">
        <v>13</v>
      </c>
      <c r="Y19" s="17" t="e">
        <f t="shared" si="22"/>
        <v>#DIV/0!</v>
      </c>
      <c r="Z19" s="17" t="e">
        <f t="shared" si="5"/>
        <v>#VALUE!</v>
      </c>
      <c r="AA19" s="17" t="e">
        <f t="shared" si="6"/>
        <v>#VALUE!</v>
      </c>
      <c r="AB19" s="16" t="e">
        <f t="shared" si="7"/>
        <v>#VALUE!</v>
      </c>
      <c r="AC19" s="16" t="e">
        <f t="shared" si="8"/>
        <v>#VALUE!</v>
      </c>
      <c r="AD19" s="16" t="e">
        <f t="shared" si="9"/>
        <v>#DIV/0!</v>
      </c>
      <c r="AE19" s="16" t="e">
        <f t="shared" si="10"/>
        <v>#DIV/0!</v>
      </c>
      <c r="AF19" s="16" t="e">
        <f t="shared" si="11"/>
        <v>#VALUE!</v>
      </c>
      <c r="AG19" s="16" t="e">
        <f t="shared" si="12"/>
        <v>#VALUE!</v>
      </c>
      <c r="AH19" s="16" t="e">
        <f t="shared" si="13"/>
        <v>#VALUE!</v>
      </c>
      <c r="AI19" s="16" t="e">
        <f t="shared" si="14"/>
        <v>#DIV/0!</v>
      </c>
      <c r="AJ19" s="16" t="e">
        <f t="shared" si="23"/>
        <v>#DIV/0!</v>
      </c>
      <c r="AK19" s="16" t="e">
        <f t="shared" si="15"/>
        <v>#DIV/0!</v>
      </c>
      <c r="AL19" s="22" t="e">
        <f t="shared" si="24"/>
        <v>#DIV/0!</v>
      </c>
      <c r="AM19" s="16" t="e">
        <f t="shared" si="16"/>
        <v>#DIV/0!</v>
      </c>
      <c r="AN19" s="16" t="e">
        <f t="shared" si="25"/>
        <v>#DIV/0!</v>
      </c>
      <c r="AO19" s="16" t="e">
        <f t="shared" si="17"/>
        <v>#DIV/0!</v>
      </c>
      <c r="AP19" s="16" t="e">
        <f>AU40</f>
        <v>#DIV/0!</v>
      </c>
      <c r="AQ19" s="16" t="e">
        <f t="shared" si="18"/>
        <v>#DIV/0!</v>
      </c>
      <c r="AR19" s="17" t="e">
        <f t="shared" si="19"/>
        <v>#DIV/0!</v>
      </c>
      <c r="AS19" s="16" t="e">
        <f t="shared" si="20"/>
        <v>#DIV/0!</v>
      </c>
      <c r="AT19" s="16" t="e">
        <f t="shared" si="21"/>
        <v>#DIV/0!</v>
      </c>
      <c r="AU19" s="16"/>
    </row>
    <row r="20" spans="1:54" ht="15.75">
      <c r="A20" t="s">
        <v>70</v>
      </c>
      <c r="K20" s="16">
        <f t="shared" si="0"/>
        <v>0</v>
      </c>
      <c r="L20" s="17">
        <f t="shared" si="1"/>
        <v>0</v>
      </c>
      <c r="M20" s="16"/>
      <c r="N20" s="16"/>
      <c r="P20" s="16">
        <f t="shared" si="2"/>
        <v>0</v>
      </c>
      <c r="Q20" s="16">
        <f t="shared" si="3"/>
        <v>0</v>
      </c>
      <c r="R20" s="16">
        <f t="shared" si="4"/>
        <v>0</v>
      </c>
      <c r="X20">
        <v>14</v>
      </c>
      <c r="Y20" s="17" t="e">
        <f t="shared" si="22"/>
        <v>#DIV/0!</v>
      </c>
      <c r="Z20" s="17" t="e">
        <f t="shared" si="5"/>
        <v>#VALUE!</v>
      </c>
      <c r="AA20" s="17" t="e">
        <f t="shared" si="6"/>
        <v>#VALUE!</v>
      </c>
      <c r="AB20" s="16" t="e">
        <f t="shared" si="7"/>
        <v>#VALUE!</v>
      </c>
      <c r="AC20" s="16" t="e">
        <f t="shared" si="8"/>
        <v>#VALUE!</v>
      </c>
      <c r="AD20" s="16" t="e">
        <f t="shared" si="9"/>
        <v>#DIV/0!</v>
      </c>
      <c r="AE20" s="16" t="e">
        <f t="shared" si="10"/>
        <v>#DIV/0!</v>
      </c>
      <c r="AF20" s="16" t="e">
        <f t="shared" si="11"/>
        <v>#VALUE!</v>
      </c>
      <c r="AG20" s="16" t="e">
        <f t="shared" si="12"/>
        <v>#VALUE!</v>
      </c>
      <c r="AH20" s="16" t="e">
        <f t="shared" si="13"/>
        <v>#VALUE!</v>
      </c>
      <c r="AI20" s="16" t="e">
        <f t="shared" si="14"/>
        <v>#DIV/0!</v>
      </c>
      <c r="AJ20" s="16" t="e">
        <f t="shared" si="23"/>
        <v>#DIV/0!</v>
      </c>
      <c r="AK20" s="16" t="e">
        <f t="shared" si="15"/>
        <v>#DIV/0!</v>
      </c>
      <c r="AL20" s="22" t="e">
        <f t="shared" si="24"/>
        <v>#DIV/0!</v>
      </c>
      <c r="AM20" s="16" t="e">
        <f t="shared" si="16"/>
        <v>#DIV/0!</v>
      </c>
      <c r="AN20" s="16" t="e">
        <f t="shared" si="25"/>
        <v>#DIV/0!</v>
      </c>
      <c r="AO20" s="16" t="e">
        <f t="shared" si="17"/>
        <v>#DIV/0!</v>
      </c>
      <c r="AP20" s="16" t="e">
        <f>AV41</f>
        <v>#DIV/0!</v>
      </c>
      <c r="AQ20" s="16" t="e">
        <f t="shared" si="18"/>
        <v>#DIV/0!</v>
      </c>
      <c r="AR20" s="17" t="e">
        <f t="shared" si="19"/>
        <v>#DIV/0!</v>
      </c>
      <c r="AS20" s="16" t="e">
        <f t="shared" si="20"/>
        <v>#DIV/0!</v>
      </c>
      <c r="AT20" s="16" t="e">
        <f t="shared" si="21"/>
        <v>#DIV/0!</v>
      </c>
      <c r="AU20" s="16"/>
      <c r="BB20" s="24" t="s">
        <v>128</v>
      </c>
    </row>
    <row r="21" spans="1:64" ht="12.75">
      <c r="A21" t="s">
        <v>71</v>
      </c>
      <c r="B21" t="b">
        <v>0</v>
      </c>
      <c r="K21" s="16">
        <f t="shared" si="0"/>
        <v>0</v>
      </c>
      <c r="L21" s="17">
        <f t="shared" si="1"/>
        <v>0</v>
      </c>
      <c r="M21" s="16"/>
      <c r="N21" s="16"/>
      <c r="P21" s="16">
        <f t="shared" si="2"/>
        <v>0</v>
      </c>
      <c r="Q21" s="16">
        <f t="shared" si="3"/>
        <v>0</v>
      </c>
      <c r="R21" s="16">
        <f t="shared" si="4"/>
        <v>0</v>
      </c>
      <c r="X21">
        <v>15</v>
      </c>
      <c r="Y21" s="17" t="e">
        <f t="shared" si="22"/>
        <v>#DIV/0!</v>
      </c>
      <c r="Z21" s="17" t="e">
        <f t="shared" si="5"/>
        <v>#VALUE!</v>
      </c>
      <c r="AA21" s="17" t="e">
        <f t="shared" si="6"/>
        <v>#VALUE!</v>
      </c>
      <c r="AB21" s="16" t="e">
        <f t="shared" si="7"/>
        <v>#VALUE!</v>
      </c>
      <c r="AC21" s="16" t="e">
        <f t="shared" si="8"/>
        <v>#VALUE!</v>
      </c>
      <c r="AD21" s="16" t="e">
        <f t="shared" si="9"/>
        <v>#DIV/0!</v>
      </c>
      <c r="AE21" s="16" t="e">
        <f t="shared" si="10"/>
        <v>#DIV/0!</v>
      </c>
      <c r="AF21" s="16" t="e">
        <f t="shared" si="11"/>
        <v>#VALUE!</v>
      </c>
      <c r="AG21" s="16" t="e">
        <f t="shared" si="12"/>
        <v>#VALUE!</v>
      </c>
      <c r="AH21" s="16" t="e">
        <f t="shared" si="13"/>
        <v>#VALUE!</v>
      </c>
      <c r="AI21" s="16" t="e">
        <f t="shared" si="14"/>
        <v>#DIV/0!</v>
      </c>
      <c r="AJ21" s="16" t="e">
        <f t="shared" si="23"/>
        <v>#DIV/0!</v>
      </c>
      <c r="AK21" s="16" t="e">
        <f t="shared" si="15"/>
        <v>#DIV/0!</v>
      </c>
      <c r="AL21" s="22" t="e">
        <f t="shared" si="24"/>
        <v>#DIV/0!</v>
      </c>
      <c r="AM21" s="16" t="e">
        <f t="shared" si="16"/>
        <v>#DIV/0!</v>
      </c>
      <c r="AN21" s="16" t="e">
        <f t="shared" si="25"/>
        <v>#DIV/0!</v>
      </c>
      <c r="AO21" s="16" t="e">
        <f t="shared" si="17"/>
        <v>#DIV/0!</v>
      </c>
      <c r="AP21" s="16" t="e">
        <f>AW42</f>
        <v>#DIV/0!</v>
      </c>
      <c r="AQ21" s="16" t="e">
        <f t="shared" si="18"/>
        <v>#DIV/0!</v>
      </c>
      <c r="AR21" s="17" t="e">
        <f t="shared" si="19"/>
        <v>#DIV/0!</v>
      </c>
      <c r="AS21" s="16" t="e">
        <f t="shared" si="20"/>
        <v>#DIV/0!</v>
      </c>
      <c r="AT21" s="16" t="e">
        <f t="shared" si="21"/>
        <v>#DIV/0!</v>
      </c>
      <c r="AU21" s="16"/>
      <c r="BB21" s="15" t="s">
        <v>129</v>
      </c>
      <c r="BL21" s="15" t="s">
        <v>126</v>
      </c>
    </row>
    <row r="22" spans="1:64" ht="12.75">
      <c r="A22" t="s">
        <v>72</v>
      </c>
      <c r="B22" t="b">
        <v>0</v>
      </c>
      <c r="K22" s="16">
        <f t="shared" si="0"/>
        <v>0</v>
      </c>
      <c r="L22" s="17">
        <f t="shared" si="1"/>
        <v>0</v>
      </c>
      <c r="M22" s="16"/>
      <c r="N22" s="16"/>
      <c r="P22" s="16">
        <f t="shared" si="2"/>
        <v>0</v>
      </c>
      <c r="Q22" s="16">
        <f t="shared" si="3"/>
        <v>0</v>
      </c>
      <c r="R22" s="16">
        <f t="shared" si="4"/>
        <v>0</v>
      </c>
      <c r="AF22" s="16" t="e">
        <f>SUM(AF7:AF21)</f>
        <v>#VALUE!</v>
      </c>
      <c r="AG22" s="16" t="e">
        <f>SUM(AG7:AG21)</f>
        <v>#VALUE!</v>
      </c>
      <c r="AH22" s="16" t="e">
        <f>SUM(AH7:AH21)</f>
        <v>#VALUE!</v>
      </c>
      <c r="AI22" s="16"/>
      <c r="AJ22" s="16"/>
      <c r="AK22" s="16" t="e">
        <f>SUM(AK7:AK21)</f>
        <v>#DIV/0!</v>
      </c>
      <c r="AP22" s="16" t="e">
        <f>SUM(AP7:AP21)</f>
        <v>#DIV/0!</v>
      </c>
      <c r="AQ22" s="16" t="e">
        <f>SUM(AQ7:AQ21)</f>
        <v>#DIV/0!</v>
      </c>
      <c r="AR22" s="17" t="e">
        <f>SUM(AR7:AR21)</f>
        <v>#DIV/0!</v>
      </c>
      <c r="AS22" s="16" t="e">
        <f>SUM(AS7:AS21)+AX15</f>
        <v>#DIV/0!</v>
      </c>
      <c r="AT22" s="16" t="e">
        <f>SUM(AT7:AT21)+AQ7</f>
        <v>#DIV/0!</v>
      </c>
      <c r="BA22" s="15" t="s">
        <v>118</v>
      </c>
      <c r="BB22" s="15" t="s">
        <v>120</v>
      </c>
      <c r="BC22" s="15" t="s">
        <v>121</v>
      </c>
      <c r="BD22" s="15" t="s">
        <v>122</v>
      </c>
      <c r="BE22" s="15" t="s">
        <v>123</v>
      </c>
      <c r="BF22" s="15" t="s">
        <v>11</v>
      </c>
      <c r="BG22" s="15" t="s">
        <v>120</v>
      </c>
      <c r="BH22" s="15" t="s">
        <v>121</v>
      </c>
      <c r="BI22" s="15" t="s">
        <v>122</v>
      </c>
      <c r="BJ22" s="15" t="s">
        <v>123</v>
      </c>
      <c r="BK22" s="15" t="s">
        <v>13</v>
      </c>
      <c r="BL22" s="15" t="s">
        <v>119</v>
      </c>
    </row>
    <row r="23" spans="6:64" ht="12.75">
      <c r="K23" s="16">
        <f t="shared" si="0"/>
        <v>0</v>
      </c>
      <c r="L23" s="17">
        <f t="shared" si="1"/>
        <v>0</v>
      </c>
      <c r="M23" s="16"/>
      <c r="N23" s="16"/>
      <c r="P23" s="16">
        <f t="shared" si="2"/>
        <v>0</v>
      </c>
      <c r="Q23" s="16">
        <f t="shared" si="3"/>
        <v>0</v>
      </c>
      <c r="R23" s="16">
        <f t="shared" si="4"/>
        <v>0</v>
      </c>
      <c r="BA23">
        <v>100</v>
      </c>
      <c r="BB23">
        <f>BCEFind(Microns,FF,BA23,TRUE)</f>
        <v>6350</v>
      </c>
      <c r="BC23">
        <f>BCEFind(Microns,FF,BA23,FALSE)</f>
        <v>4700</v>
      </c>
      <c r="BD23" s="16">
        <f>BCEFind(FF,FF,BA23,TRUE)</f>
        <v>100.18538665771484</v>
      </c>
      <c r="BE23" s="16">
        <f>BCEFind(FF,FF,BA23,FALSE)</f>
        <v>99.5999984741211</v>
      </c>
      <c r="BF23" s="17">
        <f>Interpolate(BB23,BC23,BD23,BE23,BA23)</f>
        <v>5773.94677734375</v>
      </c>
      <c r="BG23">
        <f>BCEFind(Microns,IF(CT=3,BMD,COF),BA23,TRUE)</f>
        <v>4700</v>
      </c>
      <c r="BH23">
        <f>BCEFind(Microns,IF(CT=3,BMD,COF),$BA23,FALSE)</f>
        <v>1650</v>
      </c>
      <c r="BI23" s="16">
        <f>BCEFind(IF(CT=3,BMD,COF),IF(CT=3,BMD,COF),$BA23,TRUE)</f>
        <v>100.7202377319336</v>
      </c>
      <c r="BJ23" s="16">
        <f>BCEFind(IF(CT=3,BMD,COF),IF(CT=3,BMD,COF),$BA23,FALSE)</f>
        <v>99.91999816894531</v>
      </c>
      <c r="BK23" s="17">
        <f>Interpolate(BG23,BH23,BI23,BJ23,BA23)</f>
        <v>1832.7205810546875</v>
      </c>
      <c r="BL23" s="16">
        <f>IF(BK23&lt;&gt;0,BF23/BK23,0)</f>
        <v>3.150478494665553</v>
      </c>
    </row>
    <row r="24" spans="1:64" ht="12.75">
      <c r="A24" t="s">
        <v>100</v>
      </c>
      <c r="B24" t="b">
        <v>1</v>
      </c>
      <c r="K24" s="16">
        <f t="shared" si="0"/>
        <v>0</v>
      </c>
      <c r="L24" s="17">
        <f t="shared" si="1"/>
        <v>0</v>
      </c>
      <c r="M24" s="16"/>
      <c r="N24" s="16"/>
      <c r="P24" s="16">
        <f t="shared" si="2"/>
        <v>0</v>
      </c>
      <c r="Q24" s="16">
        <f t="shared" si="3"/>
        <v>0</v>
      </c>
      <c r="R24" s="16">
        <f t="shared" si="4"/>
        <v>0</v>
      </c>
      <c r="BA24">
        <v>90</v>
      </c>
      <c r="BB24">
        <f aca="true" t="shared" si="37" ref="BB24:BB32">BCEFind(Microns,FF,BA24,TRUE)</f>
        <v>590</v>
      </c>
      <c r="BC24">
        <f aca="true" t="shared" si="38" ref="BC24:BC32">BCEFind(Microns,FF,BA24,FALSE)</f>
        <v>415</v>
      </c>
      <c r="BD24" s="16">
        <f aca="true" t="shared" si="39" ref="BD24:BD32">BCEFind(FF,FF,BA24,TRUE)</f>
        <v>91.05000305175781</v>
      </c>
      <c r="BE24" s="16">
        <f aca="true" t="shared" si="40" ref="BE24:BE32">BCEFind(FF,FF,BA24,FALSE)</f>
        <v>88.58000183105469</v>
      </c>
      <c r="BF24" s="17">
        <f aca="true" t="shared" si="41" ref="BF24:BF32">Interpolate(BB24,BC24,BD24,BE24,BA24)</f>
        <v>508.6365051269531</v>
      </c>
      <c r="BG24">
        <f aca="true" t="shared" si="42" ref="BG24:BG32">BCEFind(Microns,IF(CT=3,BMD,COF),BA24,TRUE)</f>
        <v>295</v>
      </c>
      <c r="BH24">
        <f aca="true" t="shared" si="43" ref="BH24:BH32">BCEFind(Microns,IF(CT=3,BMD,COF),$BA24,FALSE)</f>
        <v>210</v>
      </c>
      <c r="BI24" s="16">
        <f aca="true" t="shared" si="44" ref="BI24:BI32">BCEFind(IF(CT=3,BMD,COF),IF(CT=3,BMD,COF),$BA24,TRUE)</f>
        <v>94.27999877929688</v>
      </c>
      <c r="BJ24" s="16">
        <f aca="true" t="shared" si="45" ref="BJ24:BJ32">BCEFind(IF(CT=3,BMD,COF),IF(CT=3,BMD,COF),$BA24,FALSE)</f>
        <v>85.06999969482422</v>
      </c>
      <c r="BK24" s="17">
        <f aca="true" t="shared" si="46" ref="BK24:BK32">Interpolate(BG24,BH24,BI24,BJ24,BA24)</f>
        <v>252.9944610595703</v>
      </c>
      <c r="BL24" s="16">
        <f aca="true" t="shared" si="47" ref="BL24:BL32">IF(BK24&lt;&gt;0,BF24/BK24,0)</f>
        <v>2.01046498408196</v>
      </c>
    </row>
    <row r="25" spans="6:64" ht="12.75">
      <c r="K25" s="16">
        <f t="shared" si="0"/>
        <v>0</v>
      </c>
      <c r="L25" s="17">
        <f t="shared" si="1"/>
        <v>0</v>
      </c>
      <c r="M25" s="16"/>
      <c r="N25" s="16"/>
      <c r="P25" s="16">
        <f>IF(CT=1,I25-H25,IF(CT=2,I25-G25,0))</f>
        <v>0</v>
      </c>
      <c r="Q25" s="16">
        <f t="shared" si="3"/>
        <v>0</v>
      </c>
      <c r="R25" s="16">
        <f t="shared" si="4"/>
        <v>0</v>
      </c>
      <c r="AA25" s="75" t="s">
        <v>89</v>
      </c>
      <c r="AB25" s="75"/>
      <c r="AC25" s="75"/>
      <c r="AD25" s="75"/>
      <c r="AE25" s="75"/>
      <c r="AF25" s="75"/>
      <c r="BA25">
        <v>80</v>
      </c>
      <c r="BB25">
        <f t="shared" si="37"/>
        <v>295</v>
      </c>
      <c r="BC25">
        <f t="shared" si="38"/>
        <v>210</v>
      </c>
      <c r="BD25" s="16">
        <f t="shared" si="39"/>
        <v>81.2699966430664</v>
      </c>
      <c r="BE25" s="16">
        <f t="shared" si="40"/>
        <v>71.7699966430664</v>
      </c>
      <c r="BF25" s="17">
        <f t="shared" si="41"/>
        <v>282.5664367675781</v>
      </c>
      <c r="BG25">
        <f t="shared" si="42"/>
        <v>210</v>
      </c>
      <c r="BH25">
        <f t="shared" si="43"/>
        <v>150</v>
      </c>
      <c r="BI25" s="16">
        <f t="shared" si="44"/>
        <v>85.06999969482422</v>
      </c>
      <c r="BJ25" s="16">
        <f t="shared" si="45"/>
        <v>74.8499984741211</v>
      </c>
      <c r="BK25" s="17">
        <f t="shared" si="46"/>
        <v>178.6744842529297</v>
      </c>
      <c r="BL25" s="16">
        <f t="shared" si="47"/>
        <v>1.5814593670105694</v>
      </c>
    </row>
    <row r="26" spans="1:64" ht="12.75">
      <c r="A26" t="s">
        <v>313</v>
      </c>
      <c r="B26">
        <v>0</v>
      </c>
      <c r="K26" s="16">
        <f t="shared" si="0"/>
        <v>0</v>
      </c>
      <c r="L26" s="17">
        <f t="shared" si="1"/>
        <v>0</v>
      </c>
      <c r="M26" s="16"/>
      <c r="N26" s="16"/>
      <c r="P26" s="16">
        <f t="shared" si="2"/>
        <v>0</v>
      </c>
      <c r="Q26" s="16">
        <f t="shared" si="3"/>
        <v>0</v>
      </c>
      <c r="R26" s="16">
        <f t="shared" si="4"/>
        <v>0</v>
      </c>
      <c r="AA26" s="76" t="s">
        <v>92</v>
      </c>
      <c r="AB26" s="75"/>
      <c r="AC26" s="75"/>
      <c r="AD26" s="75"/>
      <c r="AE26" s="75"/>
      <c r="AF26" s="21">
        <f>IF(CT=3,H34,I34)</f>
        <v>178.6744842529297</v>
      </c>
      <c r="AH26" s="15" t="s">
        <v>106</v>
      </c>
      <c r="BA26">
        <v>70</v>
      </c>
      <c r="BB26">
        <f t="shared" si="37"/>
        <v>210</v>
      </c>
      <c r="BC26">
        <f t="shared" si="38"/>
        <v>150</v>
      </c>
      <c r="BD26" s="16">
        <f t="shared" si="39"/>
        <v>71.7699966430664</v>
      </c>
      <c r="BE26" s="16">
        <f t="shared" si="40"/>
        <v>61.189998626708984</v>
      </c>
      <c r="BF26" s="17">
        <f t="shared" si="41"/>
        <v>199.22280883789062</v>
      </c>
      <c r="BG26">
        <f t="shared" si="42"/>
        <v>150</v>
      </c>
      <c r="BH26">
        <f t="shared" si="43"/>
        <v>105</v>
      </c>
      <c r="BI26" s="16">
        <f t="shared" si="44"/>
        <v>74.8499984741211</v>
      </c>
      <c r="BJ26" s="16">
        <f t="shared" si="45"/>
        <v>55.150001525878906</v>
      </c>
      <c r="BK26" s="17">
        <f t="shared" si="46"/>
        <v>138.71266174316406</v>
      </c>
      <c r="BL26" s="16">
        <f t="shared" si="47"/>
        <v>1.4362265588037322</v>
      </c>
    </row>
    <row r="27" spans="1:64" ht="12.75">
      <c r="A27" t="s">
        <v>329</v>
      </c>
      <c r="B27">
        <v>1</v>
      </c>
      <c r="K27" s="16">
        <f t="shared" si="0"/>
        <v>0</v>
      </c>
      <c r="L27" s="17">
        <f t="shared" si="1"/>
        <v>0</v>
      </c>
      <c r="M27" s="16"/>
      <c r="N27" s="16"/>
      <c r="P27" s="16">
        <f t="shared" si="2"/>
        <v>0</v>
      </c>
      <c r="Q27" s="16">
        <f t="shared" si="3"/>
        <v>0</v>
      </c>
      <c r="R27" s="16">
        <f t="shared" si="4"/>
        <v>0</v>
      </c>
      <c r="AA27" s="74" t="s">
        <v>90</v>
      </c>
      <c r="AB27" s="74"/>
      <c r="AC27" s="74"/>
      <c r="AD27" s="74"/>
      <c r="AE27" s="74"/>
      <c r="AF27" s="17">
        <f>BCEFind(Microns,Microns,AF26,FALSE)</f>
        <v>150</v>
      </c>
      <c r="AI27" s="23" t="e">
        <f>$AL7</f>
        <v>#VALUE!</v>
      </c>
      <c r="AJ27" s="23" t="e">
        <f>$AL8</f>
        <v>#DIV/0!</v>
      </c>
      <c r="AK27" s="23" t="e">
        <f>AL9</f>
        <v>#DIV/0!</v>
      </c>
      <c r="AL27" s="23" t="e">
        <f>AL10</f>
        <v>#DIV/0!</v>
      </c>
      <c r="AM27" s="23" t="e">
        <f>AL11</f>
        <v>#DIV/0!</v>
      </c>
      <c r="AN27" s="23" t="e">
        <f>AL12</f>
        <v>#DIV/0!</v>
      </c>
      <c r="AO27" s="23" t="e">
        <f>AL13</f>
        <v>#DIV/0!</v>
      </c>
      <c r="AP27" s="23" t="e">
        <f>AL14</f>
        <v>#DIV/0!</v>
      </c>
      <c r="AQ27" s="23" t="e">
        <f>AL15</f>
        <v>#DIV/0!</v>
      </c>
      <c r="AR27" s="23" t="e">
        <f>AL16</f>
        <v>#DIV/0!</v>
      </c>
      <c r="AS27" s="23" t="e">
        <f>AL17</f>
        <v>#DIV/0!</v>
      </c>
      <c r="AT27" s="23" t="e">
        <f>AL18</f>
        <v>#DIV/0!</v>
      </c>
      <c r="AU27" s="23" t="e">
        <f>AL19</f>
        <v>#DIV/0!</v>
      </c>
      <c r="AV27" s="23" t="e">
        <f>AL20</f>
        <v>#DIV/0!</v>
      </c>
      <c r="AW27" s="23" t="e">
        <f>AL21</f>
        <v>#DIV/0!</v>
      </c>
      <c r="BA27">
        <v>60</v>
      </c>
      <c r="BB27">
        <f t="shared" si="37"/>
        <v>150</v>
      </c>
      <c r="BC27">
        <f t="shared" si="38"/>
        <v>105</v>
      </c>
      <c r="BD27" s="16">
        <f t="shared" si="39"/>
        <v>61.189998626708984</v>
      </c>
      <c r="BE27" s="16">
        <f t="shared" si="40"/>
        <v>46.040000915527344</v>
      </c>
      <c r="BF27" s="17">
        <f t="shared" si="41"/>
        <v>146.35153198242188</v>
      </c>
      <c r="BG27">
        <f t="shared" si="42"/>
        <v>150</v>
      </c>
      <c r="BH27">
        <f t="shared" si="43"/>
        <v>105</v>
      </c>
      <c r="BI27" s="16">
        <f t="shared" si="44"/>
        <v>74.8499984741211</v>
      </c>
      <c r="BJ27" s="16">
        <f t="shared" si="45"/>
        <v>55.150001525878906</v>
      </c>
      <c r="BK27" s="17">
        <f t="shared" si="46"/>
        <v>115.86087799072266</v>
      </c>
      <c r="BL27" s="16">
        <f t="shared" si="47"/>
        <v>1.2631660878156015</v>
      </c>
    </row>
    <row r="28" spans="6:64" ht="12.75">
      <c r="K28" s="16">
        <f t="shared" si="0"/>
        <v>0</v>
      </c>
      <c r="L28" s="17">
        <f t="shared" si="1"/>
        <v>0</v>
      </c>
      <c r="M28" s="16"/>
      <c r="N28" s="16"/>
      <c r="P28" s="16">
        <f t="shared" si="2"/>
        <v>0</v>
      </c>
      <c r="Q28" s="16">
        <f t="shared" si="3"/>
        <v>0</v>
      </c>
      <c r="R28" s="16">
        <f t="shared" si="4"/>
        <v>0</v>
      </c>
      <c r="AA28" s="74" t="s">
        <v>91</v>
      </c>
      <c r="AB28" s="74"/>
      <c r="AC28" s="74"/>
      <c r="AD28" s="74"/>
      <c r="AE28" s="74"/>
      <c r="AF28">
        <f>BCEFind(K4:K28,Microns,AF27,TRUE)</f>
        <v>61.189998626708984</v>
      </c>
      <c r="AH28" s="23" t="e">
        <f aca="true" t="shared" si="48" ref="AH28:AH42">AL7</f>
        <v>#VALUE!</v>
      </c>
      <c r="AI28" s="16" t="e">
        <f>AO7</f>
        <v>#DIV/0!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BA28">
        <v>50</v>
      </c>
      <c r="BB28">
        <f t="shared" si="37"/>
        <v>150</v>
      </c>
      <c r="BC28">
        <f t="shared" si="38"/>
        <v>105</v>
      </c>
      <c r="BD28" s="16">
        <f t="shared" si="39"/>
        <v>61.189998626708984</v>
      </c>
      <c r="BE28" s="16">
        <f t="shared" si="40"/>
        <v>46.040000915527344</v>
      </c>
      <c r="BF28" s="17">
        <f t="shared" si="41"/>
        <v>116.44454193115234</v>
      </c>
      <c r="BG28">
        <f t="shared" si="42"/>
        <v>105</v>
      </c>
      <c r="BH28">
        <f t="shared" si="43"/>
        <v>75</v>
      </c>
      <c r="BI28" s="16">
        <f t="shared" si="44"/>
        <v>55.150001525878906</v>
      </c>
      <c r="BJ28" s="16">
        <f t="shared" si="45"/>
        <v>43.79999923706055</v>
      </c>
      <c r="BK28" s="17">
        <f t="shared" si="46"/>
        <v>90.99529266357422</v>
      </c>
      <c r="BL28" s="16">
        <f t="shared" si="47"/>
        <v>1.2796765472436966</v>
      </c>
    </row>
    <row r="29" spans="12:64" ht="12.75">
      <c r="L29" s="17">
        <f>SUM(L4:L28)</f>
        <v>426602.575</v>
      </c>
      <c r="O29" s="15" t="s">
        <v>43</v>
      </c>
      <c r="P29">
        <f>SUM(P4:P28)</f>
        <v>0</v>
      </c>
      <c r="Q29">
        <f>SUM(Q4:Q28)</f>
        <v>0</v>
      </c>
      <c r="AA29" s="74" t="s">
        <v>93</v>
      </c>
      <c r="AB29" s="74"/>
      <c r="AC29" s="74"/>
      <c r="AD29" s="74"/>
      <c r="AE29" s="74"/>
      <c r="AF29">
        <f>BCEFind(Microns,Microns,AF26,TRUE)</f>
        <v>210</v>
      </c>
      <c r="AH29" s="23" t="e">
        <f t="shared" si="48"/>
        <v>#DIV/0!</v>
      </c>
      <c r="AI29" s="16" t="e">
        <f>IF(AI$27&lt;&gt;0,2*AI28*($AH29/AI$27)^2.2,0)</f>
        <v>#VALUE!</v>
      </c>
      <c r="AJ29" s="16" t="e">
        <f>AO8-AI29</f>
        <v>#DIV/0!</v>
      </c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BA29">
        <v>40</v>
      </c>
      <c r="BB29">
        <f t="shared" si="37"/>
        <v>105</v>
      </c>
      <c r="BC29">
        <f t="shared" si="38"/>
        <v>75</v>
      </c>
      <c r="BD29" s="16">
        <f t="shared" si="39"/>
        <v>46.040000915527344</v>
      </c>
      <c r="BE29" s="16">
        <f t="shared" si="40"/>
        <v>36.720001220703125</v>
      </c>
      <c r="BF29" s="17">
        <f t="shared" si="41"/>
        <v>85.17955780029297</v>
      </c>
      <c r="BG29">
        <f t="shared" si="42"/>
        <v>75</v>
      </c>
      <c r="BH29">
        <f t="shared" si="43"/>
        <v>53</v>
      </c>
      <c r="BI29" s="16">
        <f t="shared" si="44"/>
        <v>43.79999923706055</v>
      </c>
      <c r="BJ29" s="16">
        <f t="shared" si="45"/>
        <v>34.25</v>
      </c>
      <c r="BK29" s="17">
        <f t="shared" si="46"/>
        <v>65.98140716552734</v>
      </c>
      <c r="BL29" s="16">
        <f t="shared" si="47"/>
        <v>1.2909630373084238</v>
      </c>
    </row>
    <row r="30" spans="6:64" ht="12.75">
      <c r="F30" s="15" t="s">
        <v>50</v>
      </c>
      <c r="G30" s="17">
        <f>DMIN(screenDB,"MICRONS",G$49:G$50)</f>
        <v>295</v>
      </c>
      <c r="H30" s="17">
        <f>DMIN(screenDB,"MICRONS",H$49:H$50)</f>
        <v>210</v>
      </c>
      <c r="I30" s="17">
        <f>DMIN(screenDB,"MICRONS",I$49:I$50)</f>
        <v>75</v>
      </c>
      <c r="J30" s="17">
        <f>DMIN(screenDB,"MICRONS",J$49:J$50)</f>
        <v>295</v>
      </c>
      <c r="K30" s="17">
        <f>DMIN(screenDB,"MICRONS",K$49:K$50)</f>
        <v>295</v>
      </c>
      <c r="L30" s="17">
        <f>(100+K39)/2*(K40-K37)</f>
        <v>107179.88837890625</v>
      </c>
      <c r="M30" s="15" t="s">
        <v>74</v>
      </c>
      <c r="N30" s="16">
        <f>DMIN(N3:N19,"Sizes",N52:N53)</f>
        <v>0</v>
      </c>
      <c r="O30" s="15" t="s">
        <v>44</v>
      </c>
      <c r="P30" s="16">
        <f>IF(Q29&lt;&gt;0,100*P29/Q29,0)</f>
        <v>0</v>
      </c>
      <c r="AA30" t="s">
        <v>91</v>
      </c>
      <c r="AF30">
        <f>BCEFind(K4:K28,Microns,AF26,TRUE)</f>
        <v>71.7699966430664</v>
      </c>
      <c r="AH30" s="23" t="e">
        <f t="shared" si="48"/>
        <v>#DIV/0!</v>
      </c>
      <c r="AI30" s="16" t="e">
        <f aca="true" t="shared" si="49" ref="AI30:AI42">IF($AH30&lt;&gt;0,(AI29/$AH29^3)*$AH30^3,0)</f>
        <v>#DIV/0!</v>
      </c>
      <c r="AJ30" s="16" t="e">
        <f>IF(AJ$27&lt;&gt;0,2*AJ29*($AH30/AJ$27)^2.2,0)</f>
        <v>#DIV/0!</v>
      </c>
      <c r="AK30" s="16" t="e">
        <f>AO9-SUM(AI30:AJ30)</f>
        <v>#DIV/0!</v>
      </c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BA30">
        <v>30</v>
      </c>
      <c r="BB30">
        <f t="shared" si="37"/>
        <v>75</v>
      </c>
      <c r="BC30">
        <f t="shared" si="38"/>
        <v>53</v>
      </c>
      <c r="BD30" s="16">
        <f t="shared" si="39"/>
        <v>36.720001220703125</v>
      </c>
      <c r="BE30" s="16">
        <f t="shared" si="40"/>
        <v>29.040000915527344</v>
      </c>
      <c r="BF30" s="17">
        <f t="shared" si="41"/>
        <v>55.61288070678711</v>
      </c>
      <c r="BG30">
        <f t="shared" si="42"/>
        <v>45</v>
      </c>
      <c r="BH30">
        <f t="shared" si="43"/>
        <v>38</v>
      </c>
      <c r="BI30" s="16">
        <f t="shared" si="44"/>
        <v>30.6200008392334</v>
      </c>
      <c r="BJ30" s="16">
        <f t="shared" si="45"/>
        <v>28.8799991607666</v>
      </c>
      <c r="BK30" s="17">
        <f t="shared" si="46"/>
        <v>42.41680908203125</v>
      </c>
      <c r="BL30" s="16">
        <f t="shared" si="47"/>
        <v>1.3111047697915124</v>
      </c>
    </row>
    <row r="31" spans="6:64" ht="12.75">
      <c r="F31" s="15" t="s">
        <v>51</v>
      </c>
      <c r="G31" s="17">
        <f>DMAX(screenDB,"MICRONS",G$52:G$53)</f>
        <v>210</v>
      </c>
      <c r="H31" s="17">
        <f>DMAX(screenDB,"MICRONS",H$52:H$53)</f>
        <v>150</v>
      </c>
      <c r="I31" s="17">
        <f>DMAX(screenDB,"MICRONS",I$52:I$53)</f>
        <v>53</v>
      </c>
      <c r="J31" s="17">
        <f>DMAX(screenDB,"MICRONS",J$52:J$53)</f>
        <v>210</v>
      </c>
      <c r="K31" s="17">
        <f>DMAX(screenDB,"MICRONS",K$52:K$53)</f>
        <v>210</v>
      </c>
      <c r="L31" s="17">
        <f>(80+K32)/2*(K30-K34)</f>
        <v>1002.5803712463378</v>
      </c>
      <c r="M31" s="15" t="s">
        <v>75</v>
      </c>
      <c r="N31" s="16">
        <f>DMAX(N3:N19,"Sizes",N49:N50)</f>
        <v>0</v>
      </c>
      <c r="AA31" s="74" t="s">
        <v>95</v>
      </c>
      <c r="AB31" s="74"/>
      <c r="AC31" s="74"/>
      <c r="AD31" s="74"/>
      <c r="AE31" s="74"/>
      <c r="AF31" s="16">
        <f>LN(AF28)+((LN(AF26)-LN(AF27))/(LN(AF29)-LN(AF27)))*(LN(AF30)-LN(AF28))</f>
        <v>4.1968980912954414</v>
      </c>
      <c r="AH31" s="23" t="e">
        <f t="shared" si="48"/>
        <v>#DIV/0!</v>
      </c>
      <c r="AI31" s="16" t="e">
        <f t="shared" si="49"/>
        <v>#DIV/0!</v>
      </c>
      <c r="AJ31" s="16" t="e">
        <f aca="true" t="shared" si="50" ref="AJ31:AJ42">IF($AH31&lt;&gt;0,(AJ30/$AH30^3)*$AH31^3,0)</f>
        <v>#DIV/0!</v>
      </c>
      <c r="AK31" s="16" t="e">
        <f>IF(AK$27&lt;&gt;0,2*AK30*($AH31/AK$27)^2.2,0)</f>
        <v>#DIV/0!</v>
      </c>
      <c r="AL31" s="16" t="e">
        <f>AO10-SUM(AI31:AK31)</f>
        <v>#DIV/0!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BA31">
        <v>20</v>
      </c>
      <c r="BB31">
        <f t="shared" si="37"/>
        <v>38</v>
      </c>
      <c r="BC31">
        <f t="shared" si="38"/>
        <v>25</v>
      </c>
      <c r="BD31" s="16">
        <f t="shared" si="39"/>
        <v>23.989999771118164</v>
      </c>
      <c r="BE31" s="16">
        <f t="shared" si="40"/>
        <v>0</v>
      </c>
      <c r="BF31" s="17">
        <f t="shared" si="41"/>
        <v>0</v>
      </c>
      <c r="BG31">
        <f t="shared" si="42"/>
        <v>38</v>
      </c>
      <c r="BH31">
        <f t="shared" si="43"/>
        <v>25</v>
      </c>
      <c r="BI31" s="16">
        <f t="shared" si="44"/>
        <v>28.8799991607666</v>
      </c>
      <c r="BJ31" s="16">
        <f t="shared" si="45"/>
        <v>0</v>
      </c>
      <c r="BK31" s="17">
        <f t="shared" si="46"/>
        <v>0</v>
      </c>
      <c r="BL31" s="16">
        <f t="shared" si="47"/>
        <v>0</v>
      </c>
    </row>
    <row r="32" spans="6:64" ht="12.75">
      <c r="F32" s="15" t="s">
        <v>52</v>
      </c>
      <c r="G32" s="16">
        <f>DMIN(screenDB,"FF",G$49:G$50)</f>
        <v>81.27</v>
      </c>
      <c r="H32" s="16">
        <f>DMIN(screenDB,"BMD",H$49:H$50)</f>
        <v>85.07</v>
      </c>
      <c r="I32" s="16">
        <f>DMIN(screenDB,"COF",I$49:I$50)</f>
        <v>85.57</v>
      </c>
      <c r="J32" s="16">
        <f>DMIN(screenDB,"CUF",J$49:J$50)</f>
        <v>85.21</v>
      </c>
      <c r="K32" s="16">
        <f>DMIN(screenDB,"CBMF",K$49:K$50)</f>
        <v>81.27</v>
      </c>
      <c r="L32" s="17">
        <f>SUM(L29:L31)</f>
        <v>534785.0437501526</v>
      </c>
      <c r="AA32" s="74" t="s">
        <v>94</v>
      </c>
      <c r="AB32" s="74"/>
      <c r="AC32" s="74"/>
      <c r="AD32" s="74"/>
      <c r="AE32" s="74"/>
      <c r="AF32" s="16">
        <f>EXP(AF31)</f>
        <v>66.47979662125466</v>
      </c>
      <c r="AH32" s="23" t="e">
        <f t="shared" si="48"/>
        <v>#DIV/0!</v>
      </c>
      <c r="AI32" s="16" t="e">
        <f t="shared" si="49"/>
        <v>#DIV/0!</v>
      </c>
      <c r="AJ32" s="16" t="e">
        <f t="shared" si="50"/>
        <v>#DIV/0!</v>
      </c>
      <c r="AK32" s="16" t="e">
        <f aca="true" t="shared" si="51" ref="AK32:AK42">IF($AH32&lt;&gt;0,(AK31/$AH31^3)*$AH32^3,0)</f>
        <v>#DIV/0!</v>
      </c>
      <c r="AL32" s="16" t="e">
        <f>IF(AL$27&lt;&gt;0,2*AL31*($AH32/AL$27)^2.2,0)</f>
        <v>#DIV/0!</v>
      </c>
      <c r="AM32" s="16" t="e">
        <f>AO11-SUM(AI32:AL32)</f>
        <v>#DIV/0!</v>
      </c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BA32">
        <v>10</v>
      </c>
      <c r="BB32">
        <f t="shared" si="37"/>
        <v>38</v>
      </c>
      <c r="BC32">
        <f t="shared" si="38"/>
        <v>25</v>
      </c>
      <c r="BD32" s="16">
        <f t="shared" si="39"/>
        <v>23.989999771118164</v>
      </c>
      <c r="BE32" s="16">
        <f t="shared" si="40"/>
        <v>0</v>
      </c>
      <c r="BF32" s="17">
        <f t="shared" si="41"/>
        <v>0</v>
      </c>
      <c r="BG32">
        <f t="shared" si="42"/>
        <v>38</v>
      </c>
      <c r="BH32">
        <f t="shared" si="43"/>
        <v>25</v>
      </c>
      <c r="BI32" s="16">
        <f t="shared" si="44"/>
        <v>28.8799991607666</v>
      </c>
      <c r="BJ32" s="16">
        <f t="shared" si="45"/>
        <v>0</v>
      </c>
      <c r="BK32" s="17">
        <f t="shared" si="46"/>
        <v>0</v>
      </c>
      <c r="BL32" s="16">
        <f t="shared" si="47"/>
        <v>0</v>
      </c>
    </row>
    <row r="33" spans="6:49" ht="12.75">
      <c r="F33" s="15" t="s">
        <v>53</v>
      </c>
      <c r="G33" s="16">
        <f>DMAX(screenDB,"FF",G$52:G$53)</f>
        <v>71.77</v>
      </c>
      <c r="H33" s="16">
        <f>DMAX(screenDB,"BMD",H$52:H$53)</f>
        <v>74.85</v>
      </c>
      <c r="I33" s="16">
        <f>DMAX(screenDB,"COF",I$52:I$53)</f>
        <v>72.2</v>
      </c>
      <c r="J33" s="16">
        <f>DMAX(screenDB,"CUF",J$52:J$53)</f>
        <v>68.7</v>
      </c>
      <c r="K33" s="16">
        <f>DMAX(screenDB,"CBMF",K$52:K$53)</f>
        <v>71.77</v>
      </c>
      <c r="AH33" s="23" t="e">
        <f t="shared" si="48"/>
        <v>#DIV/0!</v>
      </c>
      <c r="AI33" s="16" t="e">
        <f t="shared" si="49"/>
        <v>#DIV/0!</v>
      </c>
      <c r="AJ33" s="16" t="e">
        <f t="shared" si="50"/>
        <v>#DIV/0!</v>
      </c>
      <c r="AK33" s="16" t="e">
        <f t="shared" si="51"/>
        <v>#DIV/0!</v>
      </c>
      <c r="AL33" s="16" t="e">
        <f aca="true" t="shared" si="52" ref="AL33:AL42">IF($AH33&lt;&gt;0,(AL32/$AH32^3)*$AH33^3,0)</f>
        <v>#DIV/0!</v>
      </c>
      <c r="AM33" s="16" t="e">
        <f>IF(AM$27&lt;&gt;0,2*AM32*($AH33/AM$27)^2.2,0)</f>
        <v>#DIV/0!</v>
      </c>
      <c r="AN33" s="16" t="e">
        <f>AO12-SUM(AI33:AM33)</f>
        <v>#DIV/0!</v>
      </c>
      <c r="AO33" s="16"/>
      <c r="AP33" s="16"/>
      <c r="AQ33" s="16"/>
      <c r="AR33" s="16"/>
      <c r="AS33" s="16"/>
      <c r="AT33" s="16"/>
      <c r="AU33" s="16"/>
      <c r="AV33" s="16"/>
      <c r="AW33" s="16"/>
    </row>
    <row r="34" spans="6:49" ht="12.75">
      <c r="F34" s="15" t="s">
        <v>46</v>
      </c>
      <c r="G34" s="17">
        <f>Interpolate(G30,G31,G32,G33,80)</f>
        <v>282.5664367675781</v>
      </c>
      <c r="H34" s="17">
        <f>Interpolate(H30,H31,H32,H33,80)</f>
        <v>178.6744842529297</v>
      </c>
      <c r="I34" s="17">
        <f>Interpolate(I30,I31,I32,I33,80)</f>
        <v>65.36177062988281</v>
      </c>
      <c r="J34" s="17">
        <f>Interpolate(J30,J31,J32,J33,80)</f>
        <v>267.04351806640625</v>
      </c>
      <c r="K34" s="17">
        <f>Interpolate(K30,K31,K32,K33,80)</f>
        <v>282.5664367675781</v>
      </c>
      <c r="AH34" s="23" t="e">
        <f t="shared" si="48"/>
        <v>#DIV/0!</v>
      </c>
      <c r="AI34" s="16" t="e">
        <f t="shared" si="49"/>
        <v>#DIV/0!</v>
      </c>
      <c r="AJ34" s="16" t="e">
        <f t="shared" si="50"/>
        <v>#DIV/0!</v>
      </c>
      <c r="AK34" s="16" t="e">
        <f t="shared" si="51"/>
        <v>#DIV/0!</v>
      </c>
      <c r="AL34" s="16" t="e">
        <f t="shared" si="52"/>
        <v>#DIV/0!</v>
      </c>
      <c r="AM34" s="16" t="e">
        <f aca="true" t="shared" si="53" ref="AM34:AM42">IF($AH34&lt;&gt;0,(AM33/$AH33^3)*$AH34^3,0)</f>
        <v>#DIV/0!</v>
      </c>
      <c r="AN34" s="16" t="e">
        <f>IF(AN$27&lt;&gt;0,2*AN33*($AH34/AN$27)^2.2,0)</f>
        <v>#DIV/0!</v>
      </c>
      <c r="AO34" s="16" t="e">
        <f>AO13-SUM(AI34:AN34)</f>
        <v>#DIV/0!</v>
      </c>
      <c r="AP34" s="16"/>
      <c r="AQ34" s="16"/>
      <c r="AR34" s="16"/>
      <c r="AS34" s="16"/>
      <c r="AT34" s="16"/>
      <c r="AU34" s="16"/>
      <c r="AV34" s="16"/>
      <c r="AW34" s="16"/>
    </row>
    <row r="35" spans="34:49" ht="12.75">
      <c r="AH35" s="23" t="e">
        <f t="shared" si="48"/>
        <v>#DIV/0!</v>
      </c>
      <c r="AI35" s="16" t="e">
        <f t="shared" si="49"/>
        <v>#DIV/0!</v>
      </c>
      <c r="AJ35" s="16" t="e">
        <f t="shared" si="50"/>
        <v>#DIV/0!</v>
      </c>
      <c r="AK35" s="16" t="e">
        <f t="shared" si="51"/>
        <v>#DIV/0!</v>
      </c>
      <c r="AL35" s="16" t="e">
        <f t="shared" si="52"/>
        <v>#DIV/0!</v>
      </c>
      <c r="AM35" s="16" t="e">
        <f t="shared" si="53"/>
        <v>#DIV/0!</v>
      </c>
      <c r="AN35" s="16" t="e">
        <f aca="true" t="shared" si="54" ref="AN35:AN42">IF($AH35&lt;&gt;0,(AN34/$AH34^3)*$AH35^3,0)</f>
        <v>#DIV/0!</v>
      </c>
      <c r="AO35" s="16" t="e">
        <f>IF(AO$27&lt;&gt;0,2*AO34*($AH35/AO$27)^2.2,0)</f>
        <v>#DIV/0!</v>
      </c>
      <c r="AP35" s="16" t="e">
        <f>AO14-SUM(AI35:AO35)</f>
        <v>#DIV/0!</v>
      </c>
      <c r="AQ35" s="16"/>
      <c r="AR35" s="16"/>
      <c r="AS35" s="16"/>
      <c r="AT35" s="16"/>
      <c r="AU35" s="16"/>
      <c r="AV35" s="16"/>
      <c r="AW35" s="16"/>
    </row>
    <row r="36" spans="6:49" ht="12.75">
      <c r="F36" s="15" t="s">
        <v>56</v>
      </c>
      <c r="G36" s="17">
        <f>DMIN(screenDB,"MICRONS",G$55:G$56)</f>
        <v>6350</v>
      </c>
      <c r="H36" s="17">
        <f>DMIN(screenDB,"MICRONS",H$55:H$56)</f>
        <v>4700</v>
      </c>
      <c r="I36" s="17">
        <f>DMIN(screenDB,"MICRONS",I$55:I$56)</f>
        <v>415</v>
      </c>
      <c r="J36" s="17">
        <f>DMIN(screenDB,"MICRONS",J$55:J$56)</f>
        <v>6350</v>
      </c>
      <c r="K36" s="17">
        <f>DMIN(screenDB,"MICRONS",K$55:K$56)</f>
        <v>6350</v>
      </c>
      <c r="AH36" s="23" t="e">
        <f t="shared" si="48"/>
        <v>#DIV/0!</v>
      </c>
      <c r="AI36" s="16" t="e">
        <f t="shared" si="49"/>
        <v>#DIV/0!</v>
      </c>
      <c r="AJ36" s="16" t="e">
        <f t="shared" si="50"/>
        <v>#DIV/0!</v>
      </c>
      <c r="AK36" s="16" t="e">
        <f t="shared" si="51"/>
        <v>#DIV/0!</v>
      </c>
      <c r="AL36" s="16" t="e">
        <f t="shared" si="52"/>
        <v>#DIV/0!</v>
      </c>
      <c r="AM36" s="16" t="e">
        <f t="shared" si="53"/>
        <v>#DIV/0!</v>
      </c>
      <c r="AN36" s="16" t="e">
        <f t="shared" si="54"/>
        <v>#DIV/0!</v>
      </c>
      <c r="AO36" s="16" t="e">
        <f aca="true" t="shared" si="55" ref="AO36:AO42">IF($AH36&lt;&gt;0,(AO35/$AH35^3)*$AH36^3,0)</f>
        <v>#DIV/0!</v>
      </c>
      <c r="AP36" s="16" t="e">
        <f>IF(AP$27&lt;&gt;0,2*AP35*($AH36/AP$27)^2.2,0)</f>
        <v>#DIV/0!</v>
      </c>
      <c r="AQ36" s="16" t="e">
        <f>AO15-SUM(AI36:AP36)</f>
        <v>#DIV/0!</v>
      </c>
      <c r="AR36" s="16"/>
      <c r="AS36" s="16"/>
      <c r="AT36" s="16"/>
      <c r="AU36" s="16"/>
      <c r="AV36" s="16"/>
      <c r="AW36" s="16"/>
    </row>
    <row r="37" spans="6:49" ht="12.75">
      <c r="F37" s="15" t="s">
        <v>57</v>
      </c>
      <c r="G37" s="17">
        <f>DMAX(screenDB,"MICRONS",G$58:G$59)</f>
        <v>4700</v>
      </c>
      <c r="H37" s="17">
        <f>DMAX(screenDB,"MICRONS",H$58:H$59)</f>
        <v>1650</v>
      </c>
      <c r="I37" s="17">
        <f>DMAX(screenDB,"MICRONS",I$58:I$59)</f>
        <v>295</v>
      </c>
      <c r="J37" s="17">
        <f>DMAX(screenDB,"MICRONS",J$58:J$59)</f>
        <v>4700</v>
      </c>
      <c r="K37" s="17">
        <f>DMAX(screenDB,"MICRONS",K$58:K$59)</f>
        <v>4700</v>
      </c>
      <c r="AH37" s="23" t="e">
        <f t="shared" si="48"/>
        <v>#DIV/0!</v>
      </c>
      <c r="AI37" s="16" t="e">
        <f t="shared" si="49"/>
        <v>#DIV/0!</v>
      </c>
      <c r="AJ37" s="16" t="e">
        <f t="shared" si="50"/>
        <v>#DIV/0!</v>
      </c>
      <c r="AK37" s="16" t="e">
        <f t="shared" si="51"/>
        <v>#DIV/0!</v>
      </c>
      <c r="AL37" s="16" t="e">
        <f t="shared" si="52"/>
        <v>#DIV/0!</v>
      </c>
      <c r="AM37" s="16" t="e">
        <f t="shared" si="53"/>
        <v>#DIV/0!</v>
      </c>
      <c r="AN37" s="16" t="e">
        <f t="shared" si="54"/>
        <v>#DIV/0!</v>
      </c>
      <c r="AO37" s="16" t="e">
        <f t="shared" si="55"/>
        <v>#DIV/0!</v>
      </c>
      <c r="AP37" s="16" t="e">
        <f aca="true" t="shared" si="56" ref="AP37:AP42">IF($AH37&lt;&gt;0,(AP36/$AH36^3)*$AH37^3,0)</f>
        <v>#DIV/0!</v>
      </c>
      <c r="AQ37" s="16" t="e">
        <f>IF(AQ$27&lt;&gt;0,2*AQ36*($AH37/AQ$27)^2.2,0)</f>
        <v>#DIV/0!</v>
      </c>
      <c r="AR37" s="16" t="e">
        <f>AO16-SUM(AI37:AQ37)</f>
        <v>#DIV/0!</v>
      </c>
      <c r="AS37" s="16"/>
      <c r="AT37" s="16"/>
      <c r="AU37" s="16"/>
      <c r="AV37" s="16"/>
      <c r="AW37" s="16"/>
    </row>
    <row r="38" spans="6:49" ht="12.75">
      <c r="F38" s="15" t="s">
        <v>52</v>
      </c>
      <c r="G38" s="16">
        <f>DMIN(screenDB,"FF",G$55:G$56)</f>
        <v>100.18538665771484</v>
      </c>
      <c r="H38" s="16">
        <f>DMIN(screenDB,"BMD",H$55:H$56)</f>
        <v>100.7202377319336</v>
      </c>
      <c r="I38" s="16">
        <f>DMIN(screenDB,"COF",I$55:I$56)</f>
        <v>100.95366668701172</v>
      </c>
      <c r="J38" s="16">
        <f>DMIN(screenDB,"CUF",J$55:J$56)</f>
        <v>100.11550903320312</v>
      </c>
      <c r="K38" s="16">
        <f>DMIN(screenDB,"CBMF",K$55:K$56)</f>
        <v>100.18538665771484</v>
      </c>
      <c r="AH38" s="23" t="e">
        <f t="shared" si="48"/>
        <v>#DIV/0!</v>
      </c>
      <c r="AI38" s="16" t="e">
        <f t="shared" si="49"/>
        <v>#DIV/0!</v>
      </c>
      <c r="AJ38" s="16" t="e">
        <f t="shared" si="50"/>
        <v>#DIV/0!</v>
      </c>
      <c r="AK38" s="16" t="e">
        <f t="shared" si="51"/>
        <v>#DIV/0!</v>
      </c>
      <c r="AL38" s="16" t="e">
        <f t="shared" si="52"/>
        <v>#DIV/0!</v>
      </c>
      <c r="AM38" s="16" t="e">
        <f t="shared" si="53"/>
        <v>#DIV/0!</v>
      </c>
      <c r="AN38" s="16" t="e">
        <f t="shared" si="54"/>
        <v>#DIV/0!</v>
      </c>
      <c r="AO38" s="16" t="e">
        <f t="shared" si="55"/>
        <v>#DIV/0!</v>
      </c>
      <c r="AP38" s="16" t="e">
        <f t="shared" si="56"/>
        <v>#DIV/0!</v>
      </c>
      <c r="AQ38" s="16" t="e">
        <f>IF($AH38&lt;&gt;0,(AQ37/$AH37^3)*$AH38^3,0)</f>
        <v>#DIV/0!</v>
      </c>
      <c r="AR38" s="16" t="e">
        <f>IF(AR$27&lt;&gt;0,2*AR37*($AH38/AR$27)^2.2,0)</f>
        <v>#DIV/0!</v>
      </c>
      <c r="AS38" s="16" t="e">
        <f>AO17-SUM(AI38:AR38)</f>
        <v>#DIV/0!</v>
      </c>
      <c r="AT38" s="16"/>
      <c r="AU38" s="16"/>
      <c r="AV38" s="16"/>
      <c r="AW38" s="16"/>
    </row>
    <row r="39" spans="6:49" ht="12.75">
      <c r="F39" s="15" t="s">
        <v>53</v>
      </c>
      <c r="G39" s="16">
        <f>DMAX(screenDB,"FF",G$58:G$59)</f>
        <v>99.6</v>
      </c>
      <c r="H39" s="16">
        <f>DMAX(screenDB,"BMD",H$58:H$59)</f>
        <v>99.92</v>
      </c>
      <c r="I39" s="16">
        <f>DMAX(screenDB,"COF",I$58:I$59)</f>
        <v>99.97</v>
      </c>
      <c r="J39" s="16">
        <f>DMAX(screenDB,"CUF",J$58:J$59)</f>
        <v>99.98</v>
      </c>
      <c r="K39" s="16">
        <f>DMAX(screenDB,"CBMF",K$58:K$59)</f>
        <v>99.6</v>
      </c>
      <c r="AH39" s="23" t="e">
        <f t="shared" si="48"/>
        <v>#DIV/0!</v>
      </c>
      <c r="AI39" s="16" t="e">
        <f t="shared" si="49"/>
        <v>#DIV/0!</v>
      </c>
      <c r="AJ39" s="16" t="e">
        <f t="shared" si="50"/>
        <v>#DIV/0!</v>
      </c>
      <c r="AK39" s="16" t="e">
        <f t="shared" si="51"/>
        <v>#DIV/0!</v>
      </c>
      <c r="AL39" s="16" t="e">
        <f t="shared" si="52"/>
        <v>#DIV/0!</v>
      </c>
      <c r="AM39" s="16" t="e">
        <f t="shared" si="53"/>
        <v>#DIV/0!</v>
      </c>
      <c r="AN39" s="16" t="e">
        <f t="shared" si="54"/>
        <v>#DIV/0!</v>
      </c>
      <c r="AO39" s="16" t="e">
        <f t="shared" si="55"/>
        <v>#DIV/0!</v>
      </c>
      <c r="AP39" s="16" t="e">
        <f t="shared" si="56"/>
        <v>#DIV/0!</v>
      </c>
      <c r="AQ39" s="16" t="e">
        <f>IF($AH39&lt;&gt;0,(AQ38/$AH38^3)*$AH39^3,0)</f>
        <v>#DIV/0!</v>
      </c>
      <c r="AR39" s="16" t="e">
        <f>IF($AH39&lt;&gt;0,(AR38/$AH38^3)*$AH39^3,0)</f>
        <v>#DIV/0!</v>
      </c>
      <c r="AS39" s="16" t="e">
        <f>IF(AS$27&lt;&gt;0,2*AS38*($AH39/AS$27)^2.2,0)</f>
        <v>#DIV/0!</v>
      </c>
      <c r="AT39" s="16" t="e">
        <f>AO18-SUM(AI39:AS39)</f>
        <v>#DIV/0!</v>
      </c>
      <c r="AU39" s="16"/>
      <c r="AV39" s="16"/>
      <c r="AW39" s="16"/>
    </row>
    <row r="40" spans="6:49" ht="12.75">
      <c r="F40" s="15" t="s">
        <v>47</v>
      </c>
      <c r="G40" s="17">
        <f>Interpolate(G36,G37,G38,G39,100)</f>
        <v>5773.94677734375</v>
      </c>
      <c r="H40" s="17">
        <f>Interpolate(H36,H37,H38,H39,100)</f>
        <v>1832.7205810546875</v>
      </c>
      <c r="I40" s="17">
        <f>Interpolate(I36,I37,I38,I39,100)</f>
        <v>298.10137939453125</v>
      </c>
      <c r="J40" s="17">
        <f>Interpolate(J36,J37,J38,J39,100)</f>
        <v>4913.52197265625</v>
      </c>
      <c r="K40" s="17">
        <f>Interpolate(K36,K37,K38,K39,100)</f>
        <v>5773.94677734375</v>
      </c>
      <c r="AH40" s="23" t="e">
        <f t="shared" si="48"/>
        <v>#DIV/0!</v>
      </c>
      <c r="AI40" s="16" t="e">
        <f t="shared" si="49"/>
        <v>#DIV/0!</v>
      </c>
      <c r="AJ40" s="16" t="e">
        <f t="shared" si="50"/>
        <v>#DIV/0!</v>
      </c>
      <c r="AK40" s="16" t="e">
        <f t="shared" si="51"/>
        <v>#DIV/0!</v>
      </c>
      <c r="AL40" s="16" t="e">
        <f t="shared" si="52"/>
        <v>#DIV/0!</v>
      </c>
      <c r="AM40" s="16" t="e">
        <f t="shared" si="53"/>
        <v>#DIV/0!</v>
      </c>
      <c r="AN40" s="16" t="e">
        <f t="shared" si="54"/>
        <v>#DIV/0!</v>
      </c>
      <c r="AO40" s="16" t="e">
        <f t="shared" si="55"/>
        <v>#DIV/0!</v>
      </c>
      <c r="AP40" s="16" t="e">
        <f t="shared" si="56"/>
        <v>#DIV/0!</v>
      </c>
      <c r="AQ40" s="16" t="e">
        <f>IF($AH40&lt;&gt;0,(AQ39/$AH39^3)*$AH40^3,0)</f>
        <v>#DIV/0!</v>
      </c>
      <c r="AR40" s="16" t="e">
        <f>IF($AH40&lt;&gt;0,(AR39/$AH39^3)*$AH40^3,0)</f>
        <v>#DIV/0!</v>
      </c>
      <c r="AS40" s="16" t="e">
        <f>IF($AH40&lt;&gt;0,(AS39/$AH39^3)*$AH40^3,0)</f>
        <v>#DIV/0!</v>
      </c>
      <c r="AT40" s="16" t="e">
        <f>IF(AT$27&lt;&gt;0,2*AT39*($AH40/AT$27)^2.2,0)</f>
        <v>#DIV/0!</v>
      </c>
      <c r="AU40" s="16" t="e">
        <f>AO19-SUM(AI40:AT40)</f>
        <v>#DIV/0!</v>
      </c>
      <c r="AV40" s="16"/>
      <c r="AW40" s="16"/>
    </row>
    <row r="41" spans="6:49" ht="12.75">
      <c r="F41" s="15"/>
      <c r="G41" s="17"/>
      <c r="H41" s="17"/>
      <c r="I41" s="17"/>
      <c r="J41" s="17"/>
      <c r="K41" s="17"/>
      <c r="AH41" s="23" t="e">
        <f t="shared" si="48"/>
        <v>#DIV/0!</v>
      </c>
      <c r="AI41" s="16" t="e">
        <f t="shared" si="49"/>
        <v>#DIV/0!</v>
      </c>
      <c r="AJ41" s="16" t="e">
        <f t="shared" si="50"/>
        <v>#DIV/0!</v>
      </c>
      <c r="AK41" s="16" t="e">
        <f t="shared" si="51"/>
        <v>#DIV/0!</v>
      </c>
      <c r="AL41" s="16" t="e">
        <f t="shared" si="52"/>
        <v>#DIV/0!</v>
      </c>
      <c r="AM41" s="16" t="e">
        <f t="shared" si="53"/>
        <v>#DIV/0!</v>
      </c>
      <c r="AN41" s="16" t="e">
        <f t="shared" si="54"/>
        <v>#DIV/0!</v>
      </c>
      <c r="AO41" s="16" t="e">
        <f t="shared" si="55"/>
        <v>#DIV/0!</v>
      </c>
      <c r="AP41" s="16" t="e">
        <f t="shared" si="56"/>
        <v>#DIV/0!</v>
      </c>
      <c r="AQ41" s="16" t="e">
        <f>IF($AH41&lt;&gt;0,(AQ40/$AH40^3)*$AH41^3,0)</f>
        <v>#DIV/0!</v>
      </c>
      <c r="AR41" s="16" t="e">
        <f>IF($AH41&lt;&gt;0,(AR40/$AH40^3)*$AH41^3,0)</f>
        <v>#DIV/0!</v>
      </c>
      <c r="AS41" s="16" t="e">
        <f>IF($AH41&lt;&gt;0,(AS40/$AH40^3)*$AH41^3,0)</f>
        <v>#DIV/0!</v>
      </c>
      <c r="AT41" s="16" t="e">
        <f>IF($AH41&lt;&gt;0,(AT40/$AH40^3)*$AH41^3,0)</f>
        <v>#DIV/0!</v>
      </c>
      <c r="AU41" s="16" t="e">
        <f>IF(AU$27&lt;&gt;0,2*AU40*($AH41/AU$27)^2.2,0)</f>
        <v>#DIV/0!</v>
      </c>
      <c r="AV41" s="16" t="e">
        <f>AO20-SUM(AI41:AU41)</f>
        <v>#DIV/0!</v>
      </c>
      <c r="AW41" s="16"/>
    </row>
    <row r="42" spans="6:49" ht="12.75">
      <c r="F42" s="15" t="s">
        <v>60</v>
      </c>
      <c r="H42" s="17"/>
      <c r="I42" s="17"/>
      <c r="J42" s="17"/>
      <c r="K42">
        <f>(L32/(K40-K34))</f>
        <v>97.38626913138589</v>
      </c>
      <c r="AH42" s="23" t="e">
        <f t="shared" si="48"/>
        <v>#DIV/0!</v>
      </c>
      <c r="AI42" s="16" t="e">
        <f t="shared" si="49"/>
        <v>#DIV/0!</v>
      </c>
      <c r="AJ42" s="16" t="e">
        <f t="shared" si="50"/>
        <v>#DIV/0!</v>
      </c>
      <c r="AK42" s="16" t="e">
        <f t="shared" si="51"/>
        <v>#DIV/0!</v>
      </c>
      <c r="AL42" s="16" t="e">
        <f t="shared" si="52"/>
        <v>#DIV/0!</v>
      </c>
      <c r="AM42" s="16" t="e">
        <f t="shared" si="53"/>
        <v>#DIV/0!</v>
      </c>
      <c r="AN42" s="16" t="e">
        <f t="shared" si="54"/>
        <v>#DIV/0!</v>
      </c>
      <c r="AO42" s="16" t="e">
        <f t="shared" si="55"/>
        <v>#DIV/0!</v>
      </c>
      <c r="AP42" s="16" t="e">
        <f t="shared" si="56"/>
        <v>#DIV/0!</v>
      </c>
      <c r="AQ42" s="16" t="e">
        <f>IF($AH42&lt;&gt;0,(AQ41/$AH41^3)*$AH42^3,0)</f>
        <v>#DIV/0!</v>
      </c>
      <c r="AR42" s="16" t="e">
        <f>IF($AH42&lt;&gt;0,(AR41/$AH41^3)*$AH42^3,0)</f>
        <v>#DIV/0!</v>
      </c>
      <c r="AS42" s="16" t="e">
        <f>IF($AH42&lt;&gt;0,(AS41/$AH41^3)*$AH42^3,0)</f>
        <v>#DIV/0!</v>
      </c>
      <c r="AT42" s="16" t="e">
        <f>IF($AH42&lt;&gt;0,(AT41/$AH41^3)*$AH42^3,0)</f>
        <v>#DIV/0!</v>
      </c>
      <c r="AU42" s="16" t="e">
        <f>IF($AH42&lt;&gt;0,(AU41/$AH41^3)*$AH42^3,0)</f>
        <v>#DIV/0!</v>
      </c>
      <c r="AV42" s="16" t="e">
        <f>IF(AV$27&lt;&gt;0,2*AV41*($AH42/AV$27)^2.2,0)</f>
        <v>#DIV/0!</v>
      </c>
      <c r="AW42" s="16" t="e">
        <f>AO21-SUM(AI42:AV42)</f>
        <v>#DIV/0!</v>
      </c>
    </row>
    <row r="43" spans="6:11" ht="12.75">
      <c r="F43" s="15" t="s">
        <v>61</v>
      </c>
      <c r="G43" s="17"/>
      <c r="H43" s="17"/>
      <c r="I43" s="17"/>
      <c r="J43" s="17"/>
      <c r="K43" s="17">
        <f>DMIN(screenDB,"MICRONS",$K$64:$K$65)</f>
        <v>1650</v>
      </c>
    </row>
    <row r="44" spans="6:11" ht="12.75">
      <c r="F44" s="15" t="s">
        <v>62</v>
      </c>
      <c r="G44" s="17"/>
      <c r="H44" s="17"/>
      <c r="I44" s="17"/>
      <c r="J44" s="17"/>
      <c r="K44" s="17">
        <f>DMAX(screenDB,"MICRONS",K$61:K$62)</f>
        <v>590</v>
      </c>
    </row>
    <row r="45" spans="6:11" ht="12.75">
      <c r="F45" s="15" t="s">
        <v>63</v>
      </c>
      <c r="G45" s="17"/>
      <c r="H45" s="17"/>
      <c r="I45" s="17"/>
      <c r="J45" s="17"/>
      <c r="K45" s="16">
        <f>DMIN(screenDB,"CBMF",K64:K65)</f>
        <v>97.59</v>
      </c>
    </row>
    <row r="46" spans="6:11" ht="12.75">
      <c r="F46" s="15" t="s">
        <v>64</v>
      </c>
      <c r="K46" s="16">
        <f>DMAX(screenDB,"CBMF",K61:K62)</f>
        <v>91.05</v>
      </c>
    </row>
    <row r="47" spans="6:11" ht="12.75">
      <c r="F47" s="15" t="s">
        <v>59</v>
      </c>
      <c r="K47" s="17">
        <f>Interpolate(K43,K44,K45,K46,K42)</f>
        <v>1599.6627197265625</v>
      </c>
    </row>
    <row r="48" ht="12.75">
      <c r="F48" s="15"/>
    </row>
    <row r="49" spans="7:14" ht="12.75">
      <c r="G49" t="s">
        <v>37</v>
      </c>
      <c r="H49" t="s">
        <v>36</v>
      </c>
      <c r="I49" t="s">
        <v>35</v>
      </c>
      <c r="J49" t="s">
        <v>34</v>
      </c>
      <c r="K49" t="s">
        <v>39</v>
      </c>
      <c r="N49" t="s">
        <v>73</v>
      </c>
    </row>
    <row r="50" spans="7:14" ht="12.75">
      <c r="G50" t="s">
        <v>48</v>
      </c>
      <c r="H50" t="s">
        <v>48</v>
      </c>
      <c r="I50" t="s">
        <v>48</v>
      </c>
      <c r="J50" t="s">
        <v>48</v>
      </c>
      <c r="K50" t="s">
        <v>48</v>
      </c>
      <c r="N50" t="e">
        <f>"&lt;"&amp;TEXT(MaxDia,"0.00")</f>
        <v>#DIV/0!</v>
      </c>
    </row>
    <row r="52" spans="7:14" ht="12.75">
      <c r="G52" t="s">
        <v>37</v>
      </c>
      <c r="H52" t="s">
        <v>36</v>
      </c>
      <c r="I52" t="s">
        <v>35</v>
      </c>
      <c r="J52" t="s">
        <v>34</v>
      </c>
      <c r="K52" t="s">
        <v>39</v>
      </c>
      <c r="N52" t="s">
        <v>73</v>
      </c>
    </row>
    <row r="53" spans="7:14" ht="12.75">
      <c r="G53" t="s">
        <v>49</v>
      </c>
      <c r="H53" t="s">
        <v>49</v>
      </c>
      <c r="I53" t="s">
        <v>49</v>
      </c>
      <c r="J53" t="s">
        <v>49</v>
      </c>
      <c r="K53" t="s">
        <v>49</v>
      </c>
      <c r="N53" t="e">
        <f>"&gt;"&amp;TEXT(MaxDia,"0.00")</f>
        <v>#DIV/0!</v>
      </c>
    </row>
    <row r="55" spans="7:11" ht="12.75">
      <c r="G55" t="s">
        <v>37</v>
      </c>
      <c r="H55" t="s">
        <v>36</v>
      </c>
      <c r="I55" t="s">
        <v>35</v>
      </c>
      <c r="J55" t="s">
        <v>34</v>
      </c>
      <c r="K55" t="s">
        <v>39</v>
      </c>
    </row>
    <row r="56" spans="7:11" ht="12.75">
      <c r="G56" t="s">
        <v>55</v>
      </c>
      <c r="H56" t="s">
        <v>55</v>
      </c>
      <c r="I56" t="s">
        <v>55</v>
      </c>
      <c r="J56" t="s">
        <v>55</v>
      </c>
      <c r="K56" t="s">
        <v>55</v>
      </c>
    </row>
    <row r="58" spans="7:11" ht="12.75">
      <c r="G58" t="s">
        <v>37</v>
      </c>
      <c r="H58" t="s">
        <v>36</v>
      </c>
      <c r="I58" t="s">
        <v>35</v>
      </c>
      <c r="J58" t="s">
        <v>34</v>
      </c>
      <c r="K58" t="s">
        <v>39</v>
      </c>
    </row>
    <row r="59" spans="7:11" ht="12.75">
      <c r="G59" t="s">
        <v>54</v>
      </c>
      <c r="H59" t="s">
        <v>54</v>
      </c>
      <c r="I59" t="s">
        <v>54</v>
      </c>
      <c r="J59" t="s">
        <v>54</v>
      </c>
      <c r="K59" t="s">
        <v>54</v>
      </c>
    </row>
    <row r="61" spans="6:11" ht="12.75">
      <c r="F61" s="15"/>
      <c r="K61" t="s">
        <v>39</v>
      </c>
    </row>
    <row r="62" spans="6:11" ht="12.75">
      <c r="F62" s="15"/>
      <c r="K62" t="str">
        <f>"&lt;"&amp;TEXT(K42,"0.00")</f>
        <v>&lt;97.39</v>
      </c>
    </row>
    <row r="64" ht="12.75">
      <c r="K64" t="s">
        <v>39</v>
      </c>
    </row>
    <row r="65" ht="12.75">
      <c r="K65" t="str">
        <f>"&gt;"&amp;TEXT(K42,"0.00")</f>
        <v>&gt;97.39</v>
      </c>
    </row>
    <row r="67" spans="7:14" ht="12.75">
      <c r="G67" t="s">
        <v>131</v>
      </c>
      <c r="H67" t="s">
        <v>132</v>
      </c>
      <c r="I67" t="s">
        <v>133</v>
      </c>
      <c r="J67" t="s">
        <v>134</v>
      </c>
      <c r="K67" t="s">
        <v>135</v>
      </c>
      <c r="L67" t="s">
        <v>136</v>
      </c>
      <c r="M67" t="s">
        <v>137</v>
      </c>
      <c r="N67" t="s">
        <v>138</v>
      </c>
    </row>
    <row r="68" spans="6:14" ht="12.75">
      <c r="F68" s="17">
        <f>'User Data'!H7</f>
        <v>0</v>
      </c>
      <c r="G68" s="16">
        <f>IF(ISBLANK('User Data'!I7),-1,'User Data'!I7)</f>
        <v>-1</v>
      </c>
      <c r="H68" s="16">
        <f>IF(G68&lt;0,-1,IF(DT=1,G68,IF(DT=2,100-G68,100-G68)))</f>
        <v>-1</v>
      </c>
      <c r="I68" s="16">
        <f>IF(ISBLANK('User Data'!J7),-1,'User Data'!J7)</f>
        <v>-1</v>
      </c>
      <c r="J68" s="16">
        <f>IF(I68&lt;0,-1,IF(DT=1,I68,IF(DT=2,100-I68,100-I68)))</f>
        <v>-1</v>
      </c>
      <c r="K68" s="16">
        <f>IF(ISBLANK('User Data'!K7),-1,'User Data'!K7)</f>
        <v>-1</v>
      </c>
      <c r="L68" s="16">
        <f>IF(K68&lt;0,-1,IF(DT=1,K68,IF(DT=2,100-K68,100-K68)))</f>
        <v>-1</v>
      </c>
      <c r="M68" s="16">
        <f>IF(ISBLANK('User Data'!L7),-1,'User Data'!L7)</f>
        <v>-1</v>
      </c>
      <c r="N68" s="16">
        <f>IF(M68&lt;0,-1,IF(DT=1,M68,IF(DT=2,100-M68,100-M68)))</f>
        <v>-1</v>
      </c>
    </row>
    <row r="69" spans="6:14" ht="12.75">
      <c r="F69" s="17">
        <f>'User Data'!H8</f>
        <v>0</v>
      </c>
      <c r="G69" s="16">
        <f>IF(ISBLANK('User Data'!I8),-1,'User Data'!I8)</f>
        <v>-1</v>
      </c>
      <c r="H69" s="16">
        <f>IF(G69&lt;0,-1,IF(DT=1,G69,IF(DT=2,100-G69,H68-G69)))</f>
        <v>-1</v>
      </c>
      <c r="I69" s="16">
        <f>IF(ISBLANK('User Data'!J8),-1,'User Data'!J8)</f>
        <v>-1</v>
      </c>
      <c r="J69" s="16">
        <f>IF(I69&lt;0,-1,IF(DT=1,I69,IF(DT=2,100-I69,J68-I69)))</f>
        <v>-1</v>
      </c>
      <c r="K69" s="16">
        <f>IF(ISBLANK('User Data'!K8),-1,'User Data'!K8)</f>
        <v>-1</v>
      </c>
      <c r="L69" s="16">
        <f>IF(K69&lt;0,-1,IF(DT=1,K69,IF(DT=2,100-K69,L68-K69)))</f>
        <v>-1</v>
      </c>
      <c r="M69" s="16">
        <f>IF(ISBLANK('User Data'!L8),-1,'User Data'!L8)</f>
        <v>-1</v>
      </c>
      <c r="N69" s="16">
        <f>IF(M69&lt;0,-1,IF(DT=1,M69,IF(DT=2,100-M69,N68-M69)))</f>
        <v>-1</v>
      </c>
    </row>
    <row r="70" spans="6:14" ht="12.75">
      <c r="F70" s="17">
        <f>'User Data'!H9</f>
        <v>0</v>
      </c>
      <c r="G70" s="16">
        <f>IF(ISBLANK('User Data'!I9),-1,'User Data'!I9)</f>
        <v>-1</v>
      </c>
      <c r="H70" s="16">
        <f aca="true" t="shared" si="57" ref="H70:H92">IF(G70&lt;0,-1,IF(DT=1,G70,IF(DT=2,100-G70,H69-G70)))</f>
        <v>-1</v>
      </c>
      <c r="I70" s="16">
        <f>IF(ISBLANK('User Data'!J9),-1,'User Data'!J9)</f>
        <v>-1</v>
      </c>
      <c r="J70" s="16">
        <f aca="true" t="shared" si="58" ref="J70:J92">IF(I70&lt;0,-1,IF(DT=1,I70,IF(DT=2,100-I70,J69-I70)))</f>
        <v>-1</v>
      </c>
      <c r="K70" s="16">
        <f>IF(ISBLANK('User Data'!K9),-1,'User Data'!K9)</f>
        <v>-1</v>
      </c>
      <c r="L70" s="16">
        <f aca="true" t="shared" si="59" ref="L70:L92">IF(K70&lt;0,-1,IF(DT=1,K70,IF(DT=2,100-K70,L69-K70)))</f>
        <v>-1</v>
      </c>
      <c r="M70" s="16">
        <f>IF(ISBLANK('User Data'!L9),-1,'User Data'!L9)</f>
        <v>-1</v>
      </c>
      <c r="N70" s="16">
        <f aca="true" t="shared" si="60" ref="N70:N92">IF(M70&lt;0,-1,IF(DT=1,M70,IF(DT=2,100-M70,N69-M70)))</f>
        <v>-1</v>
      </c>
    </row>
    <row r="71" spans="6:14" ht="12.75">
      <c r="F71" s="17">
        <f>'User Data'!H10</f>
        <v>0</v>
      </c>
      <c r="G71" s="16">
        <f>IF(ISBLANK('User Data'!I10),-1,'User Data'!I10)</f>
        <v>-1</v>
      </c>
      <c r="H71" s="16">
        <f t="shared" si="57"/>
        <v>-1</v>
      </c>
      <c r="I71" s="16">
        <f>IF(ISBLANK('User Data'!J10),-1,'User Data'!J10)</f>
        <v>-1</v>
      </c>
      <c r="J71" s="16">
        <f t="shared" si="58"/>
        <v>-1</v>
      </c>
      <c r="K71" s="16">
        <f>IF(ISBLANK('User Data'!K10),-1,'User Data'!K10)</f>
        <v>-1</v>
      </c>
      <c r="L71" s="16">
        <f t="shared" si="59"/>
        <v>-1</v>
      </c>
      <c r="M71" s="16">
        <f>IF(ISBLANK('User Data'!L10),-1,'User Data'!L10)</f>
        <v>-1</v>
      </c>
      <c r="N71" s="16">
        <f t="shared" si="60"/>
        <v>-1</v>
      </c>
    </row>
    <row r="72" spans="6:14" ht="12.75">
      <c r="F72" s="17">
        <f>'User Data'!H11</f>
        <v>0</v>
      </c>
      <c r="G72" s="16">
        <f>IF(ISBLANK('User Data'!I11),-1,'User Data'!I11)</f>
        <v>-1</v>
      </c>
      <c r="H72" s="16">
        <f t="shared" si="57"/>
        <v>-1</v>
      </c>
      <c r="I72" s="16">
        <f>IF(ISBLANK('User Data'!J11),-1,'User Data'!J11)</f>
        <v>-1</v>
      </c>
      <c r="J72" s="16">
        <f t="shared" si="58"/>
        <v>-1</v>
      </c>
      <c r="K72" s="16">
        <f>IF(ISBLANK('User Data'!K11),-1,'User Data'!K11)</f>
        <v>-1</v>
      </c>
      <c r="L72" s="16">
        <f t="shared" si="59"/>
        <v>-1</v>
      </c>
      <c r="M72" s="16">
        <f>IF(ISBLANK('User Data'!L11),-1,'User Data'!L11)</f>
        <v>-1</v>
      </c>
      <c r="N72" s="16">
        <f t="shared" si="60"/>
        <v>-1</v>
      </c>
    </row>
    <row r="73" spans="6:14" ht="12.75">
      <c r="F73" s="17">
        <f>'User Data'!H12</f>
        <v>0</v>
      </c>
      <c r="G73" s="16">
        <f>IF(ISBLANK('User Data'!I12),-1,'User Data'!I12)</f>
        <v>-1</v>
      </c>
      <c r="H73" s="16">
        <f t="shared" si="57"/>
        <v>-1</v>
      </c>
      <c r="I73" s="16">
        <f>IF(ISBLANK('User Data'!J12),-1,'User Data'!J12)</f>
        <v>-1</v>
      </c>
      <c r="J73" s="16">
        <f t="shared" si="58"/>
        <v>-1</v>
      </c>
      <c r="K73" s="16">
        <f>IF(ISBLANK('User Data'!K12),-1,'User Data'!K12)</f>
        <v>-1</v>
      </c>
      <c r="L73" s="16">
        <f t="shared" si="59"/>
        <v>-1</v>
      </c>
      <c r="M73" s="16">
        <f>IF(ISBLANK('User Data'!L12),-1,'User Data'!L12)</f>
        <v>-1</v>
      </c>
      <c r="N73" s="16">
        <f t="shared" si="60"/>
        <v>-1</v>
      </c>
    </row>
    <row r="74" spans="6:14" ht="12.75">
      <c r="F74" s="17">
        <f>'User Data'!H13</f>
        <v>0</v>
      </c>
      <c r="G74" s="16">
        <f>IF(ISBLANK('User Data'!I13),-1,'User Data'!I13)</f>
        <v>-1</v>
      </c>
      <c r="H74" s="16">
        <f t="shared" si="57"/>
        <v>-1</v>
      </c>
      <c r="I74" s="16">
        <f>IF(ISBLANK('User Data'!J13),-1,'User Data'!J13)</f>
        <v>-1</v>
      </c>
      <c r="J74" s="16">
        <f t="shared" si="58"/>
        <v>-1</v>
      </c>
      <c r="K74" s="16">
        <f>IF(ISBLANK('User Data'!K13),-1,'User Data'!K13)</f>
        <v>-1</v>
      </c>
      <c r="L74" s="16">
        <f t="shared" si="59"/>
        <v>-1</v>
      </c>
      <c r="M74" s="16">
        <f>IF(ISBLANK('User Data'!L13),-1,'User Data'!L13)</f>
        <v>-1</v>
      </c>
      <c r="N74" s="16">
        <f t="shared" si="60"/>
        <v>-1</v>
      </c>
    </row>
    <row r="75" spans="6:14" ht="12.75">
      <c r="F75" s="17">
        <f>'User Data'!H14</f>
        <v>0</v>
      </c>
      <c r="G75" s="16">
        <f>IF(ISBLANK('User Data'!I14),-1,'User Data'!I14)</f>
        <v>-1</v>
      </c>
      <c r="H75" s="16">
        <f t="shared" si="57"/>
        <v>-1</v>
      </c>
      <c r="I75" s="16">
        <f>IF(ISBLANK('User Data'!J14),-1,'User Data'!J14)</f>
        <v>-1</v>
      </c>
      <c r="J75" s="16">
        <f t="shared" si="58"/>
        <v>-1</v>
      </c>
      <c r="K75" s="16">
        <f>IF(ISBLANK('User Data'!K14),-1,'User Data'!K14)</f>
        <v>-1</v>
      </c>
      <c r="L75" s="16">
        <f t="shared" si="59"/>
        <v>-1</v>
      </c>
      <c r="M75" s="16">
        <f>IF(ISBLANK('User Data'!L14),-1,'User Data'!L14)</f>
        <v>-1</v>
      </c>
      <c r="N75" s="16">
        <f t="shared" si="60"/>
        <v>-1</v>
      </c>
    </row>
    <row r="76" spans="6:14" ht="12.75">
      <c r="F76" s="17">
        <f>'User Data'!H15</f>
        <v>0</v>
      </c>
      <c r="G76" s="16">
        <f>IF(ISBLANK('User Data'!I15),-1,'User Data'!I15)</f>
        <v>-1</v>
      </c>
      <c r="H76" s="16">
        <f t="shared" si="57"/>
        <v>-1</v>
      </c>
      <c r="I76" s="16">
        <f>IF(ISBLANK('User Data'!J15),-1,'User Data'!J15)</f>
        <v>-1</v>
      </c>
      <c r="J76" s="16">
        <f t="shared" si="58"/>
        <v>-1</v>
      </c>
      <c r="K76" s="16">
        <f>IF(ISBLANK('User Data'!K15),-1,'User Data'!K15)</f>
        <v>-1</v>
      </c>
      <c r="L76" s="16">
        <f t="shared" si="59"/>
        <v>-1</v>
      </c>
      <c r="M76" s="16">
        <f>IF(ISBLANK('User Data'!L15),-1,'User Data'!L15)</f>
        <v>-1</v>
      </c>
      <c r="N76" s="16">
        <f t="shared" si="60"/>
        <v>-1</v>
      </c>
    </row>
    <row r="77" spans="6:14" ht="12.75">
      <c r="F77" s="17">
        <f>'User Data'!H16</f>
        <v>0</v>
      </c>
      <c r="G77" s="16">
        <f>IF(ISBLANK('User Data'!I16),-1,'User Data'!I16)</f>
        <v>-1</v>
      </c>
      <c r="H77" s="16">
        <f t="shared" si="57"/>
        <v>-1</v>
      </c>
      <c r="I77" s="16">
        <f>IF(ISBLANK('User Data'!J16),-1,'User Data'!J16)</f>
        <v>-1</v>
      </c>
      <c r="J77" s="16">
        <f t="shared" si="58"/>
        <v>-1</v>
      </c>
      <c r="K77" s="16">
        <f>IF(ISBLANK('User Data'!K16),-1,'User Data'!K16)</f>
        <v>-1</v>
      </c>
      <c r="L77" s="16">
        <f t="shared" si="59"/>
        <v>-1</v>
      </c>
      <c r="M77" s="16">
        <f>IF(ISBLANK('User Data'!L16),-1,'User Data'!L16)</f>
        <v>-1</v>
      </c>
      <c r="N77" s="16">
        <f t="shared" si="60"/>
        <v>-1</v>
      </c>
    </row>
    <row r="78" spans="6:14" ht="12.75">
      <c r="F78" s="17">
        <f>'User Data'!H17</f>
        <v>0</v>
      </c>
      <c r="G78" s="16">
        <f>IF(ISBLANK('User Data'!I17),-1,'User Data'!I17)</f>
        <v>-1</v>
      </c>
      <c r="H78" s="16">
        <f t="shared" si="57"/>
        <v>-1</v>
      </c>
      <c r="I78" s="16">
        <f>IF(ISBLANK('User Data'!J17),-1,'User Data'!J17)</f>
        <v>-1</v>
      </c>
      <c r="J78" s="16">
        <f t="shared" si="58"/>
        <v>-1</v>
      </c>
      <c r="K78" s="16">
        <f>IF(ISBLANK('User Data'!K17),-1,'User Data'!K17)</f>
        <v>-1</v>
      </c>
      <c r="L78" s="16">
        <f t="shared" si="59"/>
        <v>-1</v>
      </c>
      <c r="M78" s="16">
        <f>IF(ISBLANK('User Data'!L17),-1,'User Data'!L17)</f>
        <v>-1</v>
      </c>
      <c r="N78" s="16">
        <f t="shared" si="60"/>
        <v>-1</v>
      </c>
    </row>
    <row r="79" spans="6:14" ht="12.75">
      <c r="F79" s="17">
        <f>'User Data'!H18</f>
        <v>0</v>
      </c>
      <c r="G79" s="16">
        <f>IF(ISBLANK('User Data'!I18),-1,'User Data'!I18)</f>
        <v>-1</v>
      </c>
      <c r="H79" s="16">
        <f t="shared" si="57"/>
        <v>-1</v>
      </c>
      <c r="I79" s="16">
        <f>IF(ISBLANK('User Data'!J18),-1,'User Data'!J18)</f>
        <v>-1</v>
      </c>
      <c r="J79" s="16">
        <f t="shared" si="58"/>
        <v>-1</v>
      </c>
      <c r="K79" s="16">
        <f>IF(ISBLANK('User Data'!K18),-1,'User Data'!K18)</f>
        <v>-1</v>
      </c>
      <c r="L79" s="16">
        <f t="shared" si="59"/>
        <v>-1</v>
      </c>
      <c r="M79" s="16">
        <f>IF(ISBLANK('User Data'!L18),-1,'User Data'!L18)</f>
        <v>-1</v>
      </c>
      <c r="N79" s="16">
        <f t="shared" si="60"/>
        <v>-1</v>
      </c>
    </row>
    <row r="80" spans="6:14" ht="12.75">
      <c r="F80" s="17">
        <f>'User Data'!H19</f>
        <v>0</v>
      </c>
      <c r="G80" s="16">
        <f>IF(ISBLANK('User Data'!I19),-1,'User Data'!I19)</f>
        <v>-1</v>
      </c>
      <c r="H80" s="16">
        <f t="shared" si="57"/>
        <v>-1</v>
      </c>
      <c r="I80" s="16">
        <f>IF(ISBLANK('User Data'!J19),-1,'User Data'!J19)</f>
        <v>-1</v>
      </c>
      <c r="J80" s="16">
        <f t="shared" si="58"/>
        <v>-1</v>
      </c>
      <c r="K80" s="16">
        <f>IF(ISBLANK('User Data'!K19),-1,'User Data'!K19)</f>
        <v>-1</v>
      </c>
      <c r="L80" s="16">
        <f t="shared" si="59"/>
        <v>-1</v>
      </c>
      <c r="M80" s="16">
        <f>IF(ISBLANK('User Data'!L19),-1,'User Data'!L19)</f>
        <v>-1</v>
      </c>
      <c r="N80" s="16">
        <f t="shared" si="60"/>
        <v>-1</v>
      </c>
    </row>
    <row r="81" spans="6:14" ht="12.75">
      <c r="F81" s="17">
        <f>'User Data'!H20</f>
        <v>0</v>
      </c>
      <c r="G81" s="16">
        <f>IF(ISBLANK('User Data'!I20),-1,'User Data'!I20)</f>
        <v>-1</v>
      </c>
      <c r="H81" s="16">
        <f t="shared" si="57"/>
        <v>-1</v>
      </c>
      <c r="I81" s="16">
        <f>IF(ISBLANK('User Data'!J20),-1,'User Data'!J20)</f>
        <v>-1</v>
      </c>
      <c r="J81" s="16">
        <f t="shared" si="58"/>
        <v>-1</v>
      </c>
      <c r="K81" s="16">
        <f>IF(ISBLANK('User Data'!K20),-1,'User Data'!K20)</f>
        <v>-1</v>
      </c>
      <c r="L81" s="16">
        <f t="shared" si="59"/>
        <v>-1</v>
      </c>
      <c r="M81" s="16">
        <f>IF(ISBLANK('User Data'!L20),-1,'User Data'!L20)</f>
        <v>-1</v>
      </c>
      <c r="N81" s="16">
        <f t="shared" si="60"/>
        <v>-1</v>
      </c>
    </row>
    <row r="82" spans="6:14" ht="12.75">
      <c r="F82" s="17">
        <f>'User Data'!H21</f>
        <v>0</v>
      </c>
      <c r="G82" s="16">
        <f>IF(ISBLANK('User Data'!I21),-1,'User Data'!I21)</f>
        <v>-1</v>
      </c>
      <c r="H82" s="16">
        <f t="shared" si="57"/>
        <v>-1</v>
      </c>
      <c r="I82" s="16">
        <f>IF(ISBLANK('User Data'!J21),-1,'User Data'!J21)</f>
        <v>-1</v>
      </c>
      <c r="J82" s="16">
        <f t="shared" si="58"/>
        <v>-1</v>
      </c>
      <c r="K82" s="16">
        <f>IF(ISBLANK('User Data'!K21),-1,'User Data'!K21)</f>
        <v>-1</v>
      </c>
      <c r="L82" s="16">
        <f t="shared" si="59"/>
        <v>-1</v>
      </c>
      <c r="M82" s="16">
        <f>IF(ISBLANK('User Data'!L21),-1,'User Data'!L21)</f>
        <v>-1</v>
      </c>
      <c r="N82" s="16">
        <f t="shared" si="60"/>
        <v>-1</v>
      </c>
    </row>
    <row r="83" spans="6:14" ht="12.75">
      <c r="F83" s="17">
        <f>'User Data'!H22</f>
        <v>0</v>
      </c>
      <c r="G83" s="16">
        <f>IF(ISBLANK('User Data'!I22),-1,'User Data'!I22)</f>
        <v>-1</v>
      </c>
      <c r="H83" s="16">
        <f t="shared" si="57"/>
        <v>-1</v>
      </c>
      <c r="I83" s="16">
        <f>IF(ISBLANK('User Data'!J22),-1,'User Data'!J22)</f>
        <v>-1</v>
      </c>
      <c r="J83" s="16">
        <f t="shared" si="58"/>
        <v>-1</v>
      </c>
      <c r="K83" s="16">
        <f>IF(ISBLANK('User Data'!K22),-1,'User Data'!K22)</f>
        <v>-1</v>
      </c>
      <c r="L83" s="16">
        <f t="shared" si="59"/>
        <v>-1</v>
      </c>
      <c r="M83" s="16">
        <f>IF(ISBLANK('User Data'!L22),-1,'User Data'!L22)</f>
        <v>-1</v>
      </c>
      <c r="N83" s="16">
        <f t="shared" si="60"/>
        <v>-1</v>
      </c>
    </row>
    <row r="84" spans="6:14" ht="12.75">
      <c r="F84" s="17">
        <f>'User Data'!H23</f>
        <v>0</v>
      </c>
      <c r="G84" s="16">
        <f>IF(ISBLANK('User Data'!I23),-1,'User Data'!I23)</f>
        <v>-1</v>
      </c>
      <c r="H84" s="16">
        <f t="shared" si="57"/>
        <v>-1</v>
      </c>
      <c r="I84" s="16">
        <f>IF(ISBLANK('User Data'!J23),-1,'User Data'!J23)</f>
        <v>-1</v>
      </c>
      <c r="J84" s="16">
        <f t="shared" si="58"/>
        <v>-1</v>
      </c>
      <c r="K84" s="16">
        <f>IF(ISBLANK('User Data'!K23),-1,'User Data'!K23)</f>
        <v>-1</v>
      </c>
      <c r="L84" s="16">
        <f t="shared" si="59"/>
        <v>-1</v>
      </c>
      <c r="M84" s="16">
        <f>IF(ISBLANK('User Data'!L23),-1,'User Data'!L23)</f>
        <v>-1</v>
      </c>
      <c r="N84" s="16">
        <f t="shared" si="60"/>
        <v>-1</v>
      </c>
    </row>
    <row r="85" spans="6:14" ht="12.75">
      <c r="F85" s="17">
        <f>'User Data'!H24</f>
        <v>0</v>
      </c>
      <c r="G85" s="16">
        <f>IF(ISBLANK('User Data'!I24),-1,'User Data'!I24)</f>
        <v>-1</v>
      </c>
      <c r="H85" s="16">
        <f t="shared" si="57"/>
        <v>-1</v>
      </c>
      <c r="I85" s="16">
        <f>IF(ISBLANK('User Data'!J24),-1,'User Data'!J24)</f>
        <v>-1</v>
      </c>
      <c r="J85" s="16">
        <f t="shared" si="58"/>
        <v>-1</v>
      </c>
      <c r="K85" s="16">
        <f>IF(ISBLANK('User Data'!K24),-1,'User Data'!K24)</f>
        <v>-1</v>
      </c>
      <c r="L85" s="16">
        <f t="shared" si="59"/>
        <v>-1</v>
      </c>
      <c r="M85" s="16">
        <f>IF(ISBLANK('User Data'!L24),-1,'User Data'!L24)</f>
        <v>-1</v>
      </c>
      <c r="N85" s="16">
        <f t="shared" si="60"/>
        <v>-1</v>
      </c>
    </row>
    <row r="86" spans="6:14" ht="12.75">
      <c r="F86" s="17">
        <f>'User Data'!H25</f>
        <v>0</v>
      </c>
      <c r="G86" s="16">
        <f>IF(ISBLANK('User Data'!I25),-1,'User Data'!I25)</f>
        <v>-1</v>
      </c>
      <c r="H86" s="16">
        <f t="shared" si="57"/>
        <v>-1</v>
      </c>
      <c r="I86" s="16">
        <f>IF(ISBLANK('User Data'!J25),-1,'User Data'!J25)</f>
        <v>-1</v>
      </c>
      <c r="J86" s="16">
        <f t="shared" si="58"/>
        <v>-1</v>
      </c>
      <c r="K86" s="16">
        <f>IF(ISBLANK('User Data'!K25),-1,'User Data'!K25)</f>
        <v>-1</v>
      </c>
      <c r="L86" s="16">
        <f t="shared" si="59"/>
        <v>-1</v>
      </c>
      <c r="M86" s="16">
        <f>IF(ISBLANK('User Data'!L25),-1,'User Data'!L25)</f>
        <v>-1</v>
      </c>
      <c r="N86" s="16">
        <f t="shared" si="60"/>
        <v>-1</v>
      </c>
    </row>
    <row r="87" spans="6:14" ht="12.75">
      <c r="F87" s="17">
        <f>'User Data'!H26</f>
        <v>0</v>
      </c>
      <c r="G87" s="16">
        <f>IF(ISBLANK('User Data'!I26),-1,'User Data'!I26)</f>
        <v>-1</v>
      </c>
      <c r="H87" s="16">
        <f t="shared" si="57"/>
        <v>-1</v>
      </c>
      <c r="I87" s="16">
        <f>IF(ISBLANK('User Data'!J26),-1,'User Data'!J26)</f>
        <v>-1</v>
      </c>
      <c r="J87" s="16">
        <f t="shared" si="58"/>
        <v>-1</v>
      </c>
      <c r="K87" s="16">
        <f>IF(ISBLANK('User Data'!K26),-1,'User Data'!K26)</f>
        <v>-1</v>
      </c>
      <c r="L87" s="16">
        <f t="shared" si="59"/>
        <v>-1</v>
      </c>
      <c r="M87" s="16">
        <f>IF(ISBLANK('User Data'!L26),-1,'User Data'!L26)</f>
        <v>-1</v>
      </c>
      <c r="N87" s="16">
        <f t="shared" si="60"/>
        <v>-1</v>
      </c>
    </row>
    <row r="88" spans="6:14" ht="12.75">
      <c r="F88" s="17">
        <f>'User Data'!H27</f>
        <v>0</v>
      </c>
      <c r="G88" s="16">
        <f>IF(ISBLANK('User Data'!I27),-1,'User Data'!I27)</f>
        <v>-1</v>
      </c>
      <c r="H88" s="16">
        <f t="shared" si="57"/>
        <v>-1</v>
      </c>
      <c r="I88" s="16">
        <f>IF(ISBLANK('User Data'!J27),-1,'User Data'!J27)</f>
        <v>-1</v>
      </c>
      <c r="J88" s="16">
        <f t="shared" si="58"/>
        <v>-1</v>
      </c>
      <c r="K88" s="16">
        <f>IF(ISBLANK('User Data'!K27),-1,'User Data'!K27)</f>
        <v>-1</v>
      </c>
      <c r="L88" s="16">
        <f t="shared" si="59"/>
        <v>-1</v>
      </c>
      <c r="M88" s="16">
        <f>IF(ISBLANK('User Data'!L27),-1,'User Data'!L27)</f>
        <v>-1</v>
      </c>
      <c r="N88" s="16">
        <f t="shared" si="60"/>
        <v>-1</v>
      </c>
    </row>
    <row r="89" spans="6:14" ht="12.75">
      <c r="F89" s="17">
        <f>'User Data'!H28</f>
        <v>0</v>
      </c>
      <c r="G89" s="16">
        <f>IF(ISBLANK('User Data'!I28),-1,'User Data'!I28)</f>
        <v>-1</v>
      </c>
      <c r="H89" s="16">
        <f t="shared" si="57"/>
        <v>-1</v>
      </c>
      <c r="I89" s="16">
        <f>IF(ISBLANK('User Data'!J28),-1,'User Data'!J28)</f>
        <v>-1</v>
      </c>
      <c r="J89" s="16">
        <f t="shared" si="58"/>
        <v>-1</v>
      </c>
      <c r="K89" s="16">
        <f>IF(ISBLANK('User Data'!K28),-1,'User Data'!K28)</f>
        <v>-1</v>
      </c>
      <c r="L89" s="16">
        <f t="shared" si="59"/>
        <v>-1</v>
      </c>
      <c r="M89" s="16">
        <f>IF(ISBLANK('User Data'!L28),-1,'User Data'!L28)</f>
        <v>-1</v>
      </c>
      <c r="N89" s="16">
        <f t="shared" si="60"/>
        <v>-1</v>
      </c>
    </row>
    <row r="90" spans="6:14" ht="12.75">
      <c r="F90" s="17">
        <f>'User Data'!H29</f>
        <v>0</v>
      </c>
      <c r="G90" s="16">
        <f>IF(ISBLANK('User Data'!I29),-1,'User Data'!I29)</f>
        <v>-1</v>
      </c>
      <c r="H90" s="16">
        <f t="shared" si="57"/>
        <v>-1</v>
      </c>
      <c r="I90" s="16">
        <f>IF(ISBLANK('User Data'!J29),-1,'User Data'!J29)</f>
        <v>-1</v>
      </c>
      <c r="J90" s="16">
        <f t="shared" si="58"/>
        <v>-1</v>
      </c>
      <c r="K90" s="16">
        <f>IF(ISBLANK('User Data'!K29),-1,'User Data'!K29)</f>
        <v>-1</v>
      </c>
      <c r="L90" s="16">
        <f t="shared" si="59"/>
        <v>-1</v>
      </c>
      <c r="M90" s="16">
        <f>IF(ISBLANK('User Data'!L29),-1,'User Data'!L29)</f>
        <v>-1</v>
      </c>
      <c r="N90" s="16">
        <f t="shared" si="60"/>
        <v>-1</v>
      </c>
    </row>
    <row r="91" spans="6:14" ht="12.75">
      <c r="F91" s="17">
        <f>'User Data'!H30</f>
        <v>0</v>
      </c>
      <c r="G91" s="16">
        <f>IF(ISBLANK('User Data'!I30),-1,'User Data'!I30)</f>
        <v>-1</v>
      </c>
      <c r="H91" s="16">
        <f t="shared" si="57"/>
        <v>-1</v>
      </c>
      <c r="I91" s="16">
        <f>IF(ISBLANK('User Data'!J30),-1,'User Data'!J30)</f>
        <v>-1</v>
      </c>
      <c r="J91" s="16">
        <f t="shared" si="58"/>
        <v>-1</v>
      </c>
      <c r="K91" s="16">
        <f>IF(ISBLANK('User Data'!K30),-1,'User Data'!K30)</f>
        <v>-1</v>
      </c>
      <c r="L91" s="16">
        <f t="shared" si="59"/>
        <v>-1</v>
      </c>
      <c r="M91" s="16">
        <f>IF(ISBLANK('User Data'!L30),-1,'User Data'!L30)</f>
        <v>-1</v>
      </c>
      <c r="N91" s="16">
        <f t="shared" si="60"/>
        <v>-1</v>
      </c>
    </row>
    <row r="92" spans="6:14" ht="12.75">
      <c r="F92" s="17">
        <f>'User Data'!H31</f>
        <v>0</v>
      </c>
      <c r="G92" s="16">
        <f>IF(ISBLANK('User Data'!I31),-1,'User Data'!I31)</f>
        <v>-1</v>
      </c>
      <c r="H92" s="16">
        <f t="shared" si="57"/>
        <v>-1</v>
      </c>
      <c r="I92" s="16">
        <f>IF(ISBLANK('User Data'!J31),-1,'User Data'!J31)</f>
        <v>-1</v>
      </c>
      <c r="J92" s="16">
        <f t="shared" si="58"/>
        <v>-1</v>
      </c>
      <c r="K92" s="16">
        <f>IF(ISBLANK('User Data'!K31),-1,'User Data'!K31)</f>
        <v>-1</v>
      </c>
      <c r="L92" s="16">
        <f t="shared" si="59"/>
        <v>-1</v>
      </c>
      <c r="M92" s="16">
        <f>IF(ISBLANK('User Data'!L31),-1,'User Data'!L31)</f>
        <v>-1</v>
      </c>
      <c r="N92" s="16">
        <f t="shared" si="60"/>
        <v>-1</v>
      </c>
    </row>
  </sheetData>
  <mergeCells count="7">
    <mergeCell ref="AA31:AE31"/>
    <mergeCell ref="AA32:AE32"/>
    <mergeCell ref="AA27:AE27"/>
    <mergeCell ref="AA25:AF25"/>
    <mergeCell ref="AA28:AE28"/>
    <mergeCell ref="AA29:AE29"/>
    <mergeCell ref="AA26:AE26"/>
  </mergeCells>
  <dataValidations count="1">
    <dataValidation type="decimal" allowBlank="1" showInputMessage="1" showErrorMessage="1" errorTitle="PERI BCE" error="You must enter a value between 0 and 100" sqref="I4:I17 G4:G17 J4:J17 H4:H17">
      <formula1>0</formula1>
      <formula2>100</formula2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Engineering Resources,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Taylor</dc:creator>
  <cp:keywords/>
  <dc:description/>
  <cp:lastModifiedBy>David Taylor</cp:lastModifiedBy>
  <cp:lastPrinted>1999-06-28T19:02:57Z</cp:lastPrinted>
  <dcterms:created xsi:type="dcterms:W3CDTF">1999-04-19T19:01:39Z</dcterms:created>
  <dcterms:modified xsi:type="dcterms:W3CDTF">2003-09-16T16:57:39Z</dcterms:modified>
  <cp:category/>
  <cp:version/>
  <cp:contentType/>
  <cp:contentStatus/>
</cp:coreProperties>
</file>